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filterPrivacy="1" codeName="ThisWorkbook" defaultThemeVersion="124226"/>
  <xr:revisionPtr revIDLastSave="0" documentId="13_ncr:1_{6735B94F-198B-43DD-B461-ECE4C5F346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nal" sheetId="9" r:id="rId1"/>
    <sheet name="MZN SUMMARY" sheetId="15" r:id="rId2"/>
    <sheet name="Combined" sheetId="1" state="hidden" r:id="rId3"/>
  </sheets>
  <externalReferences>
    <externalReference r:id="rId4"/>
    <externalReference r:id="rId5"/>
  </externalReferences>
  <definedNames>
    <definedName name="_xlnm._FilterDatabase" localSheetId="2" hidden="1">Combined!$Q$1:$Q$318</definedName>
    <definedName name="_xlnm._FilterDatabase" localSheetId="0" hidden="1">Final!$U$1:$U$566</definedName>
    <definedName name="_xlnm.Print_Area" localSheetId="2">Combined!$A$1:$V$303</definedName>
    <definedName name="_xlnm.Print_Area" localSheetId="0">Final!$A$1:$W$497</definedName>
    <definedName name="_xlnm.Print_Titles" localSheetId="0">Final!$4:$5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49" i="9" l="1"/>
  <c r="J549" i="9" s="1"/>
  <c r="G548" i="9"/>
  <c r="J548" i="9" s="1"/>
  <c r="G547" i="9"/>
  <c r="K547" i="9" s="1"/>
  <c r="G546" i="9"/>
  <c r="H546" i="9" s="1"/>
  <c r="N546" i="9" s="1"/>
  <c r="G545" i="9"/>
  <c r="J545" i="9" s="1"/>
  <c r="G544" i="9"/>
  <c r="J544" i="9" s="1"/>
  <c r="G543" i="9"/>
  <c r="K543" i="9" s="1"/>
  <c r="G542" i="9"/>
  <c r="H542" i="9" s="1"/>
  <c r="N542" i="9" s="1"/>
  <c r="G541" i="9"/>
  <c r="K541" i="9" s="1"/>
  <c r="G540" i="9"/>
  <c r="J540" i="9" s="1"/>
  <c r="G539" i="9"/>
  <c r="K539" i="9" s="1"/>
  <c r="G538" i="9"/>
  <c r="K538" i="9" s="1"/>
  <c r="G537" i="9"/>
  <c r="J537" i="9" s="1"/>
  <c r="G536" i="9"/>
  <c r="H536" i="9" s="1"/>
  <c r="G535" i="9"/>
  <c r="K535" i="9" s="1"/>
  <c r="G534" i="9"/>
  <c r="J534" i="9" s="1"/>
  <c r="G533" i="9"/>
  <c r="K533" i="9" s="1"/>
  <c r="G532" i="9"/>
  <c r="H532" i="9" s="1"/>
  <c r="N532" i="9" s="1"/>
  <c r="G531" i="9"/>
  <c r="J531" i="9" s="1"/>
  <c r="G530" i="9"/>
  <c r="H530" i="9" s="1"/>
  <c r="N530" i="9" s="1"/>
  <c r="G529" i="9"/>
  <c r="K529" i="9" s="1"/>
  <c r="G528" i="9"/>
  <c r="J528" i="9" s="1"/>
  <c r="G527" i="9"/>
  <c r="K527" i="9" s="1"/>
  <c r="G526" i="9"/>
  <c r="H526" i="9" s="1"/>
  <c r="G525" i="9"/>
  <c r="K525" i="9" s="1"/>
  <c r="G524" i="9"/>
  <c r="J524" i="9" s="1"/>
  <c r="G523" i="9"/>
  <c r="K523" i="9" s="1"/>
  <c r="G522" i="9"/>
  <c r="H522" i="9" s="1"/>
  <c r="G521" i="9"/>
  <c r="J521" i="9" s="1"/>
  <c r="G520" i="9"/>
  <c r="J520" i="9" s="1"/>
  <c r="G556" i="9"/>
  <c r="K556" i="9" s="1"/>
  <c r="G555" i="9"/>
  <c r="K555" i="9" s="1"/>
  <c r="G554" i="9"/>
  <c r="K554" i="9" s="1"/>
  <c r="G553" i="9"/>
  <c r="J553" i="9" s="1"/>
  <c r="G552" i="9"/>
  <c r="J552" i="9" s="1"/>
  <c r="G551" i="9"/>
  <c r="J551" i="9" s="1"/>
  <c r="G519" i="9"/>
  <c r="J519" i="9" s="1"/>
  <c r="G518" i="9"/>
  <c r="J518" i="9" s="1"/>
  <c r="G517" i="9"/>
  <c r="K517" i="9" s="1"/>
  <c r="G516" i="9"/>
  <c r="J516" i="9" s="1"/>
  <c r="G515" i="9"/>
  <c r="J515" i="9" s="1"/>
  <c r="G513" i="9"/>
  <c r="K513" i="9" s="1"/>
  <c r="G512" i="9"/>
  <c r="K512" i="9" s="1"/>
  <c r="G511" i="9"/>
  <c r="H511" i="9" s="1"/>
  <c r="N511" i="9" s="1"/>
  <c r="G510" i="9"/>
  <c r="J510" i="9" s="1"/>
  <c r="G508" i="9"/>
  <c r="G507" i="9"/>
  <c r="K507" i="9" s="1"/>
  <c r="G506" i="9"/>
  <c r="J506" i="9" s="1"/>
  <c r="G505" i="9"/>
  <c r="J505" i="9" s="1"/>
  <c r="G502" i="9"/>
  <c r="G501" i="9"/>
  <c r="J501" i="9" s="1"/>
  <c r="G500" i="9"/>
  <c r="J500" i="9" s="1"/>
  <c r="G499" i="9"/>
  <c r="J499" i="9" s="1"/>
  <c r="G497" i="9"/>
  <c r="J497" i="9" s="1"/>
  <c r="G496" i="9"/>
  <c r="K496" i="9" s="1"/>
  <c r="G495" i="9"/>
  <c r="K495" i="9" s="1"/>
  <c r="G494" i="9"/>
  <c r="J494" i="9" s="1"/>
  <c r="T558" i="9"/>
  <c r="J546" i="9" l="1"/>
  <c r="K546" i="9"/>
  <c r="K544" i="9"/>
  <c r="K548" i="9"/>
  <c r="H545" i="9"/>
  <c r="N545" i="9" s="1"/>
  <c r="K545" i="9"/>
  <c r="J543" i="9"/>
  <c r="H547" i="9"/>
  <c r="N547" i="9" s="1"/>
  <c r="J547" i="9"/>
  <c r="K549" i="9"/>
  <c r="J541" i="9"/>
  <c r="I546" i="9"/>
  <c r="P546" i="9" s="1"/>
  <c r="H548" i="9"/>
  <c r="N548" i="9" s="1"/>
  <c r="I548" i="9"/>
  <c r="K542" i="9"/>
  <c r="H543" i="9"/>
  <c r="N543" i="9" s="1"/>
  <c r="I545" i="9"/>
  <c r="H549" i="9"/>
  <c r="N549" i="9" s="1"/>
  <c r="H539" i="9"/>
  <c r="I547" i="9"/>
  <c r="J539" i="9"/>
  <c r="H544" i="9"/>
  <c r="N544" i="9" s="1"/>
  <c r="K540" i="9"/>
  <c r="I542" i="9"/>
  <c r="J542" i="9"/>
  <c r="H541" i="9"/>
  <c r="N541" i="9" s="1"/>
  <c r="J538" i="9"/>
  <c r="H540" i="9"/>
  <c r="N540" i="9" s="1"/>
  <c r="H538" i="9"/>
  <c r="N538" i="9" s="1"/>
  <c r="J532" i="9"/>
  <c r="K532" i="9"/>
  <c r="H534" i="9"/>
  <c r="I534" i="9" s="1"/>
  <c r="J536" i="9"/>
  <c r="K534" i="9"/>
  <c r="K536" i="9"/>
  <c r="K537" i="9"/>
  <c r="N536" i="9"/>
  <c r="I536" i="9"/>
  <c r="H533" i="9"/>
  <c r="N533" i="9" s="1"/>
  <c r="J533" i="9"/>
  <c r="H535" i="9"/>
  <c r="N535" i="9" s="1"/>
  <c r="J535" i="9"/>
  <c r="H537" i="9"/>
  <c r="I532" i="9"/>
  <c r="P532" i="9" s="1"/>
  <c r="J526" i="9"/>
  <c r="H527" i="9"/>
  <c r="N527" i="9" s="1"/>
  <c r="J527" i="9"/>
  <c r="K530" i="9"/>
  <c r="K531" i="9"/>
  <c r="K526" i="9"/>
  <c r="N526" i="9"/>
  <c r="I526" i="9"/>
  <c r="H528" i="9"/>
  <c r="N528" i="9" s="1"/>
  <c r="K528" i="9"/>
  <c r="I530" i="9"/>
  <c r="K522" i="9"/>
  <c r="J530" i="9"/>
  <c r="K551" i="9"/>
  <c r="K524" i="9"/>
  <c r="H529" i="9"/>
  <c r="N529" i="9" s="1"/>
  <c r="J529" i="9"/>
  <c r="H531" i="9"/>
  <c r="N531" i="9" s="1"/>
  <c r="K553" i="9"/>
  <c r="K520" i="9"/>
  <c r="K521" i="9"/>
  <c r="H521" i="9"/>
  <c r="N521" i="9" s="1"/>
  <c r="J522" i="9"/>
  <c r="H515" i="9"/>
  <c r="N515" i="9" s="1"/>
  <c r="K515" i="9"/>
  <c r="K516" i="9"/>
  <c r="N522" i="9"/>
  <c r="I522" i="9"/>
  <c r="H517" i="9"/>
  <c r="N517" i="9" s="1"/>
  <c r="H524" i="9"/>
  <c r="N524" i="9" s="1"/>
  <c r="H496" i="9"/>
  <c r="N496" i="9" s="1"/>
  <c r="K506" i="9"/>
  <c r="H516" i="9"/>
  <c r="N516" i="9" s="1"/>
  <c r="H553" i="9"/>
  <c r="N553" i="9" s="1"/>
  <c r="H523" i="9"/>
  <c r="N523" i="9" s="1"/>
  <c r="K499" i="9"/>
  <c r="K510" i="9"/>
  <c r="J523" i="9"/>
  <c r="H525" i="9"/>
  <c r="N525" i="9" s="1"/>
  <c r="H510" i="9"/>
  <c r="N510" i="9" s="1"/>
  <c r="K500" i="9"/>
  <c r="J525" i="9"/>
  <c r="H501" i="9"/>
  <c r="N501" i="9" s="1"/>
  <c r="K519" i="9"/>
  <c r="H520" i="9"/>
  <c r="N520" i="9" s="1"/>
  <c r="K501" i="9"/>
  <c r="K494" i="9"/>
  <c r="H551" i="9"/>
  <c r="N551" i="9" s="1"/>
  <c r="H556" i="9"/>
  <c r="N556" i="9" s="1"/>
  <c r="J556" i="9"/>
  <c r="H555" i="9"/>
  <c r="N555" i="9" s="1"/>
  <c r="J555" i="9"/>
  <c r="H554" i="9"/>
  <c r="N554" i="9" s="1"/>
  <c r="J554" i="9"/>
  <c r="K552" i="9"/>
  <c r="H552" i="9"/>
  <c r="N552" i="9" s="1"/>
  <c r="H519" i="9"/>
  <c r="K518" i="9"/>
  <c r="H518" i="9"/>
  <c r="N518" i="9" s="1"/>
  <c r="J517" i="9"/>
  <c r="H513" i="9"/>
  <c r="N513" i="9" s="1"/>
  <c r="J513" i="9"/>
  <c r="J512" i="9"/>
  <c r="H512" i="9"/>
  <c r="N512" i="9" s="1"/>
  <c r="I511" i="9"/>
  <c r="J511" i="9"/>
  <c r="K511" i="9"/>
  <c r="J508" i="9"/>
  <c r="K508" i="9"/>
  <c r="H508" i="9"/>
  <c r="N508" i="9" s="1"/>
  <c r="H507" i="9"/>
  <c r="N507" i="9" s="1"/>
  <c r="J507" i="9"/>
  <c r="H506" i="9"/>
  <c r="N506" i="9" s="1"/>
  <c r="H505" i="9"/>
  <c r="N505" i="9" s="1"/>
  <c r="K505" i="9"/>
  <c r="J502" i="9"/>
  <c r="K502" i="9"/>
  <c r="H502" i="9"/>
  <c r="N502" i="9" s="1"/>
  <c r="H500" i="9"/>
  <c r="N500" i="9" s="1"/>
  <c r="H499" i="9"/>
  <c r="N499" i="9" s="1"/>
  <c r="K497" i="9"/>
  <c r="H497" i="9"/>
  <c r="N497" i="9" s="1"/>
  <c r="J496" i="9"/>
  <c r="H495" i="9"/>
  <c r="N495" i="9" s="1"/>
  <c r="J495" i="9"/>
  <c r="H494" i="9"/>
  <c r="N494" i="9" s="1"/>
  <c r="P469" i="9"/>
  <c r="U208" i="9"/>
  <c r="U200" i="9"/>
  <c r="U199" i="9"/>
  <c r="U198" i="9"/>
  <c r="U197" i="9"/>
  <c r="U196" i="9"/>
  <c r="U186" i="9"/>
  <c r="U114" i="9"/>
  <c r="G97" i="9"/>
  <c r="K81" i="9"/>
  <c r="S458" i="9"/>
  <c r="Q462" i="9"/>
  <c r="P547" i="9" l="1"/>
  <c r="P548" i="9"/>
  <c r="P542" i="9"/>
  <c r="P545" i="9"/>
  <c r="I539" i="9"/>
  <c r="N539" i="9"/>
  <c r="I543" i="9"/>
  <c r="P543" i="9" s="1"/>
  <c r="I549" i="9"/>
  <c r="P549" i="9" s="1"/>
  <c r="I544" i="9"/>
  <c r="P544" i="9" s="1"/>
  <c r="I540" i="9"/>
  <c r="P540" i="9" s="1"/>
  <c r="P536" i="9"/>
  <c r="I538" i="9"/>
  <c r="P538" i="9" s="1"/>
  <c r="I535" i="9"/>
  <c r="P535" i="9" s="1"/>
  <c r="I541" i="9"/>
  <c r="P541" i="9" s="1"/>
  <c r="I501" i="9"/>
  <c r="N534" i="9"/>
  <c r="P534" i="9" s="1"/>
  <c r="N537" i="9"/>
  <c r="I537" i="9"/>
  <c r="P526" i="9"/>
  <c r="I533" i="9"/>
  <c r="P533" i="9" s="1"/>
  <c r="I527" i="9"/>
  <c r="P527" i="9" s="1"/>
  <c r="I528" i="9"/>
  <c r="P528" i="9" s="1"/>
  <c r="I531" i="9"/>
  <c r="P531" i="9" s="1"/>
  <c r="P530" i="9"/>
  <c r="I521" i="9"/>
  <c r="P521" i="9" s="1"/>
  <c r="I529" i="9"/>
  <c r="P529" i="9" s="1"/>
  <c r="I516" i="9"/>
  <c r="P516" i="9" s="1"/>
  <c r="I556" i="9"/>
  <c r="P556" i="9" s="1"/>
  <c r="P522" i="9"/>
  <c r="P501" i="9"/>
  <c r="I523" i="9"/>
  <c r="P523" i="9" s="1"/>
  <c r="I517" i="9"/>
  <c r="P517" i="9" s="1"/>
  <c r="I510" i="9"/>
  <c r="P510" i="9" s="1"/>
  <c r="I494" i="9"/>
  <c r="P494" i="9" s="1"/>
  <c r="I554" i="9"/>
  <c r="P554" i="9" s="1"/>
  <c r="I525" i="9"/>
  <c r="P525" i="9" s="1"/>
  <c r="I496" i="9"/>
  <c r="P496" i="9" s="1"/>
  <c r="I513" i="9"/>
  <c r="P513" i="9" s="1"/>
  <c r="I551" i="9"/>
  <c r="P551" i="9" s="1"/>
  <c r="I515" i="9"/>
  <c r="P515" i="9" s="1"/>
  <c r="I524" i="9"/>
  <c r="P524" i="9" s="1"/>
  <c r="I553" i="9"/>
  <c r="P553" i="9" s="1"/>
  <c r="I500" i="9"/>
  <c r="P500" i="9" s="1"/>
  <c r="I520" i="9"/>
  <c r="P520" i="9" s="1"/>
  <c r="I505" i="9"/>
  <c r="P505" i="9" s="1"/>
  <c r="I497" i="9"/>
  <c r="P497" i="9" s="1"/>
  <c r="I512" i="9"/>
  <c r="P512" i="9" s="1"/>
  <c r="I499" i="9"/>
  <c r="P499" i="9" s="1"/>
  <c r="I555" i="9"/>
  <c r="P555" i="9" s="1"/>
  <c r="I552" i="9"/>
  <c r="P552" i="9" s="1"/>
  <c r="I519" i="9"/>
  <c r="N519" i="9"/>
  <c r="I518" i="9"/>
  <c r="P518" i="9" s="1"/>
  <c r="P511" i="9"/>
  <c r="I508" i="9"/>
  <c r="P508" i="9" s="1"/>
  <c r="I507" i="9"/>
  <c r="P507" i="9" s="1"/>
  <c r="I506" i="9"/>
  <c r="P506" i="9" s="1"/>
  <c r="I502" i="9"/>
  <c r="P502" i="9" s="1"/>
  <c r="I495" i="9"/>
  <c r="P495" i="9" s="1"/>
  <c r="S452" i="9"/>
  <c r="S447" i="9"/>
  <c r="N567" i="9"/>
  <c r="R476" i="9"/>
  <c r="S476" i="9" s="1"/>
  <c r="R480" i="9"/>
  <c r="S480" i="9" s="1"/>
  <c r="R468" i="9"/>
  <c r="S468" i="9" s="1"/>
  <c r="G102" i="9"/>
  <c r="G426" i="9"/>
  <c r="J426" i="9" s="1"/>
  <c r="R489" i="9"/>
  <c r="S489" i="9" s="1"/>
  <c r="P490" i="9"/>
  <c r="M490" i="9"/>
  <c r="G489" i="9"/>
  <c r="K489" i="9" s="1"/>
  <c r="Q488" i="9"/>
  <c r="G372" i="9"/>
  <c r="G387" i="9"/>
  <c r="G273" i="9"/>
  <c r="R463" i="9"/>
  <c r="S463" i="9" s="1"/>
  <c r="P464" i="9"/>
  <c r="M464" i="9"/>
  <c r="G463" i="9"/>
  <c r="J463" i="9" s="1"/>
  <c r="P459" i="9"/>
  <c r="M459" i="9"/>
  <c r="G458" i="9"/>
  <c r="J458" i="9" s="1"/>
  <c r="Q457" i="9"/>
  <c r="G27" i="9"/>
  <c r="G353" i="9"/>
  <c r="G413" i="9"/>
  <c r="J413" i="9" s="1"/>
  <c r="G333" i="9"/>
  <c r="J333" i="9" s="1"/>
  <c r="G191" i="9"/>
  <c r="J191" i="9" s="1"/>
  <c r="G122" i="9"/>
  <c r="J122" i="9" s="1"/>
  <c r="P539" i="9" l="1"/>
  <c r="P537" i="9"/>
  <c r="P519" i="9"/>
  <c r="S472" i="9"/>
  <c r="J102" i="9"/>
  <c r="K102" i="9"/>
  <c r="H102" i="9"/>
  <c r="N102" i="9" s="1"/>
  <c r="K426" i="9"/>
  <c r="H426" i="9"/>
  <c r="N426" i="9" s="1"/>
  <c r="H489" i="9"/>
  <c r="N489" i="9" s="1"/>
  <c r="J489" i="9"/>
  <c r="K372" i="9"/>
  <c r="H372" i="9"/>
  <c r="N372" i="9" s="1"/>
  <c r="J372" i="9"/>
  <c r="H387" i="9"/>
  <c r="N387" i="9" s="1"/>
  <c r="K387" i="9"/>
  <c r="J387" i="9"/>
  <c r="K273" i="9"/>
  <c r="H273" i="9"/>
  <c r="N273" i="9" s="1"/>
  <c r="J273" i="9"/>
  <c r="K463" i="9"/>
  <c r="H463" i="9"/>
  <c r="N463" i="9" s="1"/>
  <c r="K458" i="9"/>
  <c r="H458" i="9"/>
  <c r="K27" i="9"/>
  <c r="H27" i="9"/>
  <c r="N27" i="9" s="1"/>
  <c r="J27" i="9"/>
  <c r="J353" i="9"/>
  <c r="K353" i="9"/>
  <c r="H353" i="9"/>
  <c r="N353" i="9" s="1"/>
  <c r="H413" i="9"/>
  <c r="N413" i="9" s="1"/>
  <c r="K413" i="9"/>
  <c r="P413" i="9" s="1"/>
  <c r="K333" i="9"/>
  <c r="P333" i="9" s="1"/>
  <c r="H333" i="9"/>
  <c r="K191" i="9"/>
  <c r="H191" i="9"/>
  <c r="I191" i="9" s="1"/>
  <c r="N191" i="9"/>
  <c r="L122" i="9"/>
  <c r="K122" i="9"/>
  <c r="H122" i="9"/>
  <c r="N122" i="9" s="1"/>
  <c r="I489" i="9" l="1"/>
  <c r="P489" i="9" s="1"/>
  <c r="W490" i="9" s="1"/>
  <c r="I102" i="9"/>
  <c r="P102" i="9" s="1"/>
  <c r="I426" i="9"/>
  <c r="P426" i="9" s="1"/>
  <c r="P273" i="9"/>
  <c r="P387" i="9"/>
  <c r="I372" i="9"/>
  <c r="P372" i="9" s="1"/>
  <c r="I387" i="9"/>
  <c r="I273" i="9"/>
  <c r="I413" i="9"/>
  <c r="I463" i="9"/>
  <c r="P463" i="9" s="1"/>
  <c r="N458" i="9"/>
  <c r="I458" i="9"/>
  <c r="I27" i="9"/>
  <c r="P27" i="9"/>
  <c r="P353" i="9"/>
  <c r="I353" i="9"/>
  <c r="N333" i="9"/>
  <c r="I333" i="9"/>
  <c r="P191" i="9"/>
  <c r="I122" i="9"/>
  <c r="P122" i="9" s="1"/>
  <c r="P458" i="9" l="1"/>
  <c r="G260" i="9"/>
  <c r="P481" i="9"/>
  <c r="M481" i="9"/>
  <c r="G480" i="9"/>
  <c r="J480" i="9" s="1"/>
  <c r="Q479" i="9"/>
  <c r="J260" i="9" l="1"/>
  <c r="H260" i="9"/>
  <c r="N260" i="9" s="1"/>
  <c r="K260" i="9"/>
  <c r="K480" i="9"/>
  <c r="H480" i="9"/>
  <c r="N480" i="9" s="1"/>
  <c r="P260" i="9" l="1"/>
  <c r="I260" i="9"/>
  <c r="I480" i="9"/>
  <c r="P480" i="9" s="1"/>
  <c r="M469" i="9" l="1"/>
  <c r="G468" i="9"/>
  <c r="J468" i="9" s="1"/>
  <c r="Q467" i="9"/>
  <c r="K468" i="9" l="1"/>
  <c r="H468" i="9"/>
  <c r="N468" i="9" s="1"/>
  <c r="I468" i="9" l="1"/>
  <c r="P468" i="9" s="1"/>
  <c r="G418" i="9" l="1"/>
  <c r="J418" i="9" s="1"/>
  <c r="G266" i="9"/>
  <c r="J266" i="9" s="1"/>
  <c r="G323" i="9"/>
  <c r="P473" i="9"/>
  <c r="M473" i="9"/>
  <c r="G472" i="9"/>
  <c r="K472" i="9" s="1"/>
  <c r="Q471" i="9"/>
  <c r="G393" i="9"/>
  <c r="P477" i="9"/>
  <c r="M477" i="9"/>
  <c r="G476" i="9"/>
  <c r="J476" i="9" s="1"/>
  <c r="Q475" i="9"/>
  <c r="G64" i="9"/>
  <c r="K64" i="9" s="1"/>
  <c r="G223" i="9"/>
  <c r="J223" i="9" s="1"/>
  <c r="G132" i="9"/>
  <c r="L132" i="9" s="1"/>
  <c r="G291" i="9"/>
  <c r="R485" i="9"/>
  <c r="S485" i="9" s="1"/>
  <c r="M486" i="9"/>
  <c r="G485" i="9"/>
  <c r="H485" i="9" s="1"/>
  <c r="Q484" i="9"/>
  <c r="H418" i="9" l="1"/>
  <c r="N418" i="9" s="1"/>
  <c r="K418" i="9"/>
  <c r="H266" i="9"/>
  <c r="I266" i="9" s="1"/>
  <c r="K266" i="9"/>
  <c r="J323" i="9"/>
  <c r="H323" i="9"/>
  <c r="N323" i="9" s="1"/>
  <c r="K323" i="9"/>
  <c r="H472" i="9"/>
  <c r="N472" i="9" s="1"/>
  <c r="J472" i="9"/>
  <c r="J393" i="9"/>
  <c r="K393" i="9"/>
  <c r="H393" i="9"/>
  <c r="N393" i="9" s="1"/>
  <c r="J132" i="9"/>
  <c r="K476" i="9"/>
  <c r="H476" i="9"/>
  <c r="N476" i="9" s="1"/>
  <c r="H132" i="9"/>
  <c r="I132" i="9" s="1"/>
  <c r="H64" i="9"/>
  <c r="N64" i="9" s="1"/>
  <c r="L64" i="9"/>
  <c r="J64" i="9"/>
  <c r="K223" i="9"/>
  <c r="H223" i="9"/>
  <c r="N223" i="9" s="1"/>
  <c r="K132" i="9"/>
  <c r="K291" i="9"/>
  <c r="J291" i="9"/>
  <c r="H291" i="9"/>
  <c r="N291" i="9" s="1"/>
  <c r="J485" i="9"/>
  <c r="N485" i="9"/>
  <c r="I485" i="9"/>
  <c r="K485" i="9"/>
  <c r="I418" i="9" l="1"/>
  <c r="P418" i="9" s="1"/>
  <c r="P486" i="9"/>
  <c r="I476" i="9"/>
  <c r="P476" i="9" s="1"/>
  <c r="W477" i="9" s="1"/>
  <c r="N132" i="9"/>
  <c r="P132" i="9" s="1"/>
  <c r="N266" i="9"/>
  <c r="I323" i="9"/>
  <c r="P323" i="9" s="1"/>
  <c r="I472" i="9"/>
  <c r="P472" i="9" s="1"/>
  <c r="W473" i="9" s="1"/>
  <c r="I64" i="9"/>
  <c r="P64" i="9" s="1"/>
  <c r="P393" i="9"/>
  <c r="I393" i="9"/>
  <c r="I223" i="9"/>
  <c r="P223" i="9" s="1"/>
  <c r="P291" i="9"/>
  <c r="I291" i="9"/>
  <c r="P485" i="9"/>
  <c r="W486" i="9" s="1"/>
  <c r="G366" i="9" l="1"/>
  <c r="K366" i="9" l="1"/>
  <c r="J366" i="9"/>
  <c r="H366" i="9"/>
  <c r="N366" i="9" s="1"/>
  <c r="I366" i="9" l="1"/>
  <c r="P366" i="9" s="1"/>
  <c r="G111" i="9" l="1"/>
  <c r="K111" i="9" s="1"/>
  <c r="J111" i="9" l="1"/>
  <c r="H111" i="9"/>
  <c r="M453" i="9"/>
  <c r="M448" i="9"/>
  <c r="M14" i="9"/>
  <c r="I111" i="9" l="1"/>
  <c r="N111" i="9"/>
  <c r="N566" i="9" s="1"/>
  <c r="S247" i="9"/>
  <c r="S219" i="9"/>
  <c r="S328" i="9"/>
  <c r="S78" i="9"/>
  <c r="S228" i="9"/>
  <c r="P111" i="9" l="1"/>
  <c r="S439" i="9"/>
  <c r="S383" i="9" l="1"/>
  <c r="S289" i="9" l="1"/>
  <c r="S389" i="9"/>
  <c r="S424" i="9" l="1"/>
  <c r="S95" i="9" l="1"/>
  <c r="U76" i="9"/>
  <c r="U456" i="9" l="1"/>
  <c r="S193" i="9"/>
  <c r="U450" i="9"/>
  <c r="U437" i="9"/>
  <c r="U172" i="9"/>
  <c r="S114" i="9"/>
  <c r="E385" i="9" l="1"/>
  <c r="G385" i="9" s="1"/>
  <c r="H385" i="9" l="1"/>
  <c r="N385" i="9" s="1"/>
  <c r="E386" i="9" s="1"/>
  <c r="P386" i="9" s="1"/>
  <c r="K385" i="9"/>
  <c r="J385" i="9"/>
  <c r="P385" i="9" l="1"/>
  <c r="I385" i="9"/>
  <c r="S42" i="9"/>
  <c r="U53" i="9"/>
  <c r="U123" i="9"/>
  <c r="U52" i="9"/>
  <c r="G351" i="9"/>
  <c r="K351" i="9" s="1"/>
  <c r="G359" i="9"/>
  <c r="G179" i="9"/>
  <c r="G13" i="9"/>
  <c r="J13" i="9" s="1"/>
  <c r="H351" i="9" l="1"/>
  <c r="I351" i="9" s="1"/>
  <c r="J351" i="9"/>
  <c r="P351" i="9" s="1"/>
  <c r="K359" i="9"/>
  <c r="H359" i="9"/>
  <c r="N359" i="9" s="1"/>
  <c r="E360" i="9" s="1"/>
  <c r="P360" i="9" s="1"/>
  <c r="J359" i="9"/>
  <c r="K179" i="9"/>
  <c r="H179" i="9"/>
  <c r="N179" i="9" s="1"/>
  <c r="E180" i="9" s="1"/>
  <c r="P180" i="9" s="1"/>
  <c r="J179" i="9"/>
  <c r="L13" i="9"/>
  <c r="K13" i="9"/>
  <c r="H13" i="9"/>
  <c r="N13" i="9" s="1"/>
  <c r="E14" i="9" s="1"/>
  <c r="P14" i="9" s="1"/>
  <c r="N351" i="9" l="1"/>
  <c r="E352" i="9" s="1"/>
  <c r="P352" i="9" s="1"/>
  <c r="P359" i="9"/>
  <c r="I359" i="9"/>
  <c r="I13" i="9"/>
  <c r="P13" i="9" s="1"/>
  <c r="I179" i="9"/>
  <c r="P179" i="9" s="1"/>
  <c r="Q438" i="9"/>
  <c r="Q451" i="9"/>
  <c r="Q446" i="9"/>
  <c r="G447" i="9"/>
  <c r="G452" i="9"/>
  <c r="J452" i="9" s="1"/>
  <c r="G439" i="9"/>
  <c r="K439" i="9" s="1"/>
  <c r="J447" i="9" l="1"/>
  <c r="K447" i="9"/>
  <c r="H447" i="9"/>
  <c r="N447" i="9" s="1"/>
  <c r="E448" i="9" s="1"/>
  <c r="P448" i="9" s="1"/>
  <c r="H439" i="9"/>
  <c r="I439" i="9" s="1"/>
  <c r="J439" i="9"/>
  <c r="K452" i="9"/>
  <c r="H452" i="9"/>
  <c r="N452" i="9" s="1"/>
  <c r="E453" i="9" s="1"/>
  <c r="P453" i="9" s="1"/>
  <c r="N439" i="9" l="1"/>
  <c r="I447" i="9"/>
  <c r="P447" i="9" s="1"/>
  <c r="W448" i="9" s="1"/>
  <c r="I452" i="9"/>
  <c r="P452" i="9" s="1"/>
  <c r="W453" i="9" s="1"/>
  <c r="P439" i="9" l="1"/>
  <c r="E440" i="9"/>
  <c r="P440" i="9" s="1"/>
  <c r="G294" i="9"/>
  <c r="M294" i="9" s="1"/>
  <c r="G296" i="9"/>
  <c r="W440" i="9" l="1"/>
  <c r="K294" i="9"/>
  <c r="H294" i="9"/>
  <c r="N294" i="9" s="1"/>
  <c r="J294" i="9"/>
  <c r="J296" i="9"/>
  <c r="H296" i="9"/>
  <c r="K296" i="9"/>
  <c r="P294" i="9" l="1"/>
  <c r="I294" i="9"/>
  <c r="P296" i="9"/>
  <c r="N296" i="9"/>
  <c r="E297" i="9"/>
  <c r="P297" i="9" s="1"/>
  <c r="I296" i="9"/>
  <c r="M26" i="9"/>
  <c r="N101" i="9" l="1"/>
  <c r="G100" i="9" l="1"/>
  <c r="J100" i="9" s="1"/>
  <c r="U161" i="9"/>
  <c r="S156" i="9"/>
  <c r="K100" i="9" l="1"/>
  <c r="H100" i="9"/>
  <c r="N100" i="9" s="1"/>
  <c r="E101" i="9" s="1"/>
  <c r="P101" i="9" s="1"/>
  <c r="L100" i="9"/>
  <c r="I100" i="9" l="1"/>
  <c r="P100" i="9" s="1"/>
  <c r="S321" i="9"/>
  <c r="S294" i="9"/>
  <c r="S268" i="9"/>
  <c r="S305" i="9"/>
  <c r="U141" i="9" l="1"/>
  <c r="S18" i="9" l="1"/>
  <c r="G411" i="9" l="1"/>
  <c r="J411" i="9" s="1"/>
  <c r="G391" i="9"/>
  <c r="H411" i="9" l="1"/>
  <c r="N411" i="9" s="1"/>
  <c r="E412" i="9" s="1"/>
  <c r="P412" i="9" s="1"/>
  <c r="K411" i="9"/>
  <c r="P411" i="9" s="1"/>
  <c r="K391" i="9"/>
  <c r="H391" i="9"/>
  <c r="N391" i="9" s="1"/>
  <c r="E392" i="9" s="1"/>
  <c r="P392" i="9" s="1"/>
  <c r="J391" i="9"/>
  <c r="I411" i="9" l="1"/>
  <c r="P391" i="9"/>
  <c r="I391" i="9"/>
  <c r="S396" i="9"/>
  <c r="G398" i="9" l="1"/>
  <c r="H398" i="9" s="1"/>
  <c r="N398" i="9" s="1"/>
  <c r="E399" i="9" s="1"/>
  <c r="P399" i="9" s="1"/>
  <c r="J398" i="9" l="1"/>
  <c r="I398" i="9"/>
  <c r="K398" i="9"/>
  <c r="R433" i="9"/>
  <c r="S432" i="9" s="1"/>
  <c r="P398" i="9" l="1"/>
  <c r="Q431" i="9"/>
  <c r="G364" i="9" l="1"/>
  <c r="G264" i="9"/>
  <c r="K264" i="9" s="1"/>
  <c r="H264" i="9" l="1"/>
  <c r="N264" i="9" s="1"/>
  <c r="E265" i="9" s="1"/>
  <c r="P265" i="9" s="1"/>
  <c r="J264" i="9"/>
  <c r="H364" i="9"/>
  <c r="N364" i="9" s="1"/>
  <c r="E365" i="9" s="1"/>
  <c r="P365" i="9" s="1"/>
  <c r="J364" i="9"/>
  <c r="K364" i="9"/>
  <c r="I264" i="9" l="1"/>
  <c r="P364" i="9"/>
  <c r="I364" i="9"/>
  <c r="M24" i="9" l="1"/>
  <c r="G25" i="9"/>
  <c r="O25" i="9" s="1"/>
  <c r="G432" i="9"/>
  <c r="K432" i="9" s="1"/>
  <c r="G331" i="9"/>
  <c r="G317" i="9"/>
  <c r="J317" i="9" s="1"/>
  <c r="G279" i="9"/>
  <c r="G199" i="9"/>
  <c r="H25" i="9" l="1"/>
  <c r="N25" i="9" s="1"/>
  <c r="E26" i="9" s="1"/>
  <c r="P26" i="9" s="1"/>
  <c r="J25" i="9"/>
  <c r="K25" i="9"/>
  <c r="H432" i="9"/>
  <c r="N432" i="9" s="1"/>
  <c r="E433" i="9" s="1"/>
  <c r="P433" i="9" s="1"/>
  <c r="J432" i="9"/>
  <c r="N317" i="9"/>
  <c r="E318" i="9" s="1"/>
  <c r="P318" i="9" s="1"/>
  <c r="O317" i="9"/>
  <c r="H317" i="9"/>
  <c r="I317" i="9" s="1"/>
  <c r="H279" i="9"/>
  <c r="I279" i="9" s="1"/>
  <c r="J279" i="9"/>
  <c r="K279" i="9"/>
  <c r="K317" i="9"/>
  <c r="H331" i="9"/>
  <c r="N331" i="9" s="1"/>
  <c r="E332" i="9" s="1"/>
  <c r="P332" i="9" s="1"/>
  <c r="J331" i="9"/>
  <c r="K331" i="9"/>
  <c r="H199" i="9"/>
  <c r="N199" i="9" s="1"/>
  <c r="J199" i="9"/>
  <c r="K199" i="9"/>
  <c r="Q423" i="9"/>
  <c r="G424" i="9"/>
  <c r="N279" i="9" l="1"/>
  <c r="E280" i="9" s="1"/>
  <c r="P280" i="9" s="1"/>
  <c r="P25" i="9"/>
  <c r="I331" i="9"/>
  <c r="I432" i="9"/>
  <c r="P432" i="9" s="1"/>
  <c r="W433" i="9" s="1"/>
  <c r="I25" i="9"/>
  <c r="P331" i="9"/>
  <c r="I199" i="9"/>
  <c r="P199" i="9" s="1"/>
  <c r="J424" i="9"/>
  <c r="H424" i="9"/>
  <c r="N424" i="9" s="1"/>
  <c r="E425" i="9" s="1"/>
  <c r="P425" i="9" s="1"/>
  <c r="K424" i="9"/>
  <c r="I424" i="9" l="1"/>
  <c r="P424" i="9" s="1"/>
  <c r="S30" i="9" l="1"/>
  <c r="G162" i="9"/>
  <c r="M162" i="9" s="1"/>
  <c r="K162" i="9" l="1"/>
  <c r="N162" i="9"/>
  <c r="E163" i="9" s="1"/>
  <c r="P163" i="9" s="1"/>
  <c r="H162" i="9"/>
  <c r="I162" i="9" s="1"/>
  <c r="J162" i="9"/>
  <c r="G109" i="9" l="1"/>
  <c r="O109" i="9" s="1"/>
  <c r="G271" i="9"/>
  <c r="G249" i="9"/>
  <c r="M249" i="9" s="1"/>
  <c r="G215" i="9"/>
  <c r="J215" i="9" s="1"/>
  <c r="K215" i="9" l="1"/>
  <c r="P215" i="9" s="1"/>
  <c r="O271" i="9"/>
  <c r="H271" i="9"/>
  <c r="N271" i="9" s="1"/>
  <c r="E272" i="9" s="1"/>
  <c r="P272" i="9" s="1"/>
  <c r="J271" i="9"/>
  <c r="K271" i="9"/>
  <c r="J109" i="9"/>
  <c r="H109" i="9"/>
  <c r="N109" i="9" s="1"/>
  <c r="E110" i="9" s="1"/>
  <c r="P110" i="9" s="1"/>
  <c r="K109" i="9"/>
  <c r="H249" i="9"/>
  <c r="N249" i="9" s="1"/>
  <c r="E250" i="9" s="1"/>
  <c r="P250" i="9" s="1"/>
  <c r="J249" i="9"/>
  <c r="K249" i="9"/>
  <c r="H215" i="9"/>
  <c r="N215" i="9" s="1"/>
  <c r="E216" i="9" s="1"/>
  <c r="P216" i="9" s="1"/>
  <c r="I249" i="9" l="1"/>
  <c r="P249" i="9" s="1"/>
  <c r="P271" i="9"/>
  <c r="I271" i="9"/>
  <c r="I109" i="9"/>
  <c r="I215" i="9"/>
  <c r="P194" i="9"/>
  <c r="P176" i="9"/>
  <c r="P175" i="9"/>
  <c r="P148" i="9"/>
  <c r="P130" i="9"/>
  <c r="P129" i="9"/>
  <c r="P116" i="9"/>
  <c r="G242" i="9" l="1"/>
  <c r="O242" i="9" s="1"/>
  <c r="G285" i="9"/>
  <c r="O285" i="9" s="1"/>
  <c r="G416" i="9"/>
  <c r="O416" i="9" s="1"/>
  <c r="R417" i="9"/>
  <c r="S416" i="9" s="1"/>
  <c r="G258" i="9"/>
  <c r="O258" i="9" s="1"/>
  <c r="G341" i="9"/>
  <c r="O341" i="9" s="1"/>
  <c r="J285" i="9" l="1"/>
  <c r="K285" i="9"/>
  <c r="L285" i="9"/>
  <c r="H285" i="9"/>
  <c r="N285" i="9" s="1"/>
  <c r="H242" i="9"/>
  <c r="N242" i="9" s="1"/>
  <c r="J242" i="9"/>
  <c r="K242" i="9"/>
  <c r="H416" i="9"/>
  <c r="N416" i="9" s="1"/>
  <c r="E417" i="9" s="1"/>
  <c r="P417" i="9" s="1"/>
  <c r="J416" i="9"/>
  <c r="K416" i="9"/>
  <c r="H258" i="9"/>
  <c r="N258" i="9" s="1"/>
  <c r="J258" i="9"/>
  <c r="K258" i="9"/>
  <c r="H341" i="9"/>
  <c r="J341" i="9"/>
  <c r="K341" i="9"/>
  <c r="N341" i="9" l="1"/>
  <c r="I285" i="9"/>
  <c r="P285" i="9" s="1"/>
  <c r="P258" i="9"/>
  <c r="I341" i="9"/>
  <c r="I416" i="9"/>
  <c r="P416" i="9" s="1"/>
  <c r="W417" i="9" s="1"/>
  <c r="I242" i="9"/>
  <c r="I258" i="9"/>
  <c r="P341" i="9" l="1"/>
  <c r="P242" i="9"/>
  <c r="G36" i="9"/>
  <c r="O36" i="9" s="1"/>
  <c r="P35" i="9"/>
  <c r="G73" i="9"/>
  <c r="O73" i="9" s="1"/>
  <c r="J36" i="9" l="1"/>
  <c r="K36" i="9"/>
  <c r="H36" i="9"/>
  <c r="N36" i="9" s="1"/>
  <c r="H73" i="9"/>
  <c r="N73" i="9" s="1"/>
  <c r="E75" i="9" s="1"/>
  <c r="P75" i="9" s="1"/>
  <c r="J73" i="9"/>
  <c r="K73" i="9"/>
  <c r="L73" i="9"/>
  <c r="S128" i="9"/>
  <c r="S165" i="9"/>
  <c r="S174" i="9"/>
  <c r="S186" i="9"/>
  <c r="I73" i="9" l="1"/>
  <c r="P73" i="9" s="1"/>
  <c r="I36" i="9"/>
  <c r="P36" i="9" s="1"/>
  <c r="S370" i="9"/>
  <c r="S362" i="9"/>
  <c r="S356" i="9"/>
  <c r="S348" i="9"/>
  <c r="S339" i="9"/>
  <c r="S277" i="9"/>
  <c r="S262" i="9"/>
  <c r="S208" i="9"/>
  <c r="S66" i="9"/>
  <c r="S56" i="9"/>
  <c r="S7" i="9"/>
  <c r="R410" i="9"/>
  <c r="S409" i="9" s="1"/>
  <c r="R377" i="9"/>
  <c r="S376" i="9" s="1"/>
  <c r="R316" i="9"/>
  <c r="S315" i="9" s="1"/>
  <c r="R284" i="9"/>
  <c r="S283" i="9" s="1"/>
  <c r="R256" i="9"/>
  <c r="S255" i="9" s="1"/>
  <c r="R241" i="9"/>
  <c r="S240" i="9" s="1"/>
  <c r="R148" i="9"/>
  <c r="S147" i="9" s="1"/>
  <c r="R138" i="9"/>
  <c r="S137" i="9" s="1"/>
  <c r="R108" i="9"/>
  <c r="R558" i="9" l="1"/>
  <c r="S107" i="9"/>
  <c r="S558" i="9" s="1"/>
  <c r="G221" i="9"/>
  <c r="O221" i="9" s="1"/>
  <c r="Q415" i="9"/>
  <c r="J221" i="9" l="1"/>
  <c r="H221" i="9"/>
  <c r="N221" i="9" s="1"/>
  <c r="K221" i="9"/>
  <c r="G47" i="9"/>
  <c r="O47" i="9" s="1"/>
  <c r="I221" i="9" l="1"/>
  <c r="P221" i="9" s="1"/>
  <c r="J47" i="9"/>
  <c r="H47" i="9"/>
  <c r="N47" i="9" s="1"/>
  <c r="L47" i="9"/>
  <c r="K47" i="9"/>
  <c r="I47" i="9" l="1"/>
  <c r="P47" i="9" s="1"/>
  <c r="G142" i="9"/>
  <c r="G152" i="9"/>
  <c r="O152" i="9" s="1"/>
  <c r="G231" i="9"/>
  <c r="H231" i="9" s="1"/>
  <c r="I231" i="9" s="1"/>
  <c r="G189" i="9"/>
  <c r="N189" i="9" s="1"/>
  <c r="G84" i="9"/>
  <c r="O84" i="9" s="1"/>
  <c r="K142" i="9" l="1"/>
  <c r="M142" i="9"/>
  <c r="K84" i="9"/>
  <c r="N84" i="9"/>
  <c r="J84" i="9"/>
  <c r="H84" i="9"/>
  <c r="I84" i="9" s="1"/>
  <c r="H142" i="9"/>
  <c r="I142" i="9" s="1"/>
  <c r="J142" i="9"/>
  <c r="N142" i="9"/>
  <c r="E144" i="9" s="1"/>
  <c r="P144" i="9" s="1"/>
  <c r="H152" i="9"/>
  <c r="I152" i="9" s="1"/>
  <c r="J152" i="9"/>
  <c r="K152" i="9"/>
  <c r="N152" i="9"/>
  <c r="J231" i="9"/>
  <c r="K231" i="9"/>
  <c r="N231" i="9"/>
  <c r="O189" i="9"/>
  <c r="H189" i="9"/>
  <c r="I189" i="9" s="1"/>
  <c r="J189" i="9"/>
  <c r="K189" i="9"/>
  <c r="P84" i="9" l="1"/>
  <c r="P189" i="9"/>
  <c r="P142" i="9"/>
  <c r="P152" i="9"/>
  <c r="P231" i="9"/>
  <c r="G62" i="9"/>
  <c r="O62" i="9" s="1"/>
  <c r="J62" i="9" l="1"/>
  <c r="H62" i="9"/>
  <c r="N62" i="9" s="1"/>
  <c r="K62" i="9"/>
  <c r="L62" i="9"/>
  <c r="I62" i="9" l="1"/>
  <c r="G120" i="9"/>
  <c r="O120" i="9" s="1"/>
  <c r="G307" i="9"/>
  <c r="H307" i="9" s="1"/>
  <c r="I307" i="9" s="1"/>
  <c r="J307" i="9" l="1"/>
  <c r="K307" i="9"/>
  <c r="N307" i="9"/>
  <c r="O307" i="9"/>
  <c r="H120" i="9"/>
  <c r="N120" i="9" s="1"/>
  <c r="J120" i="9"/>
  <c r="K120" i="9"/>
  <c r="L120" i="9"/>
  <c r="I120" i="9" l="1"/>
  <c r="P120" i="9" s="1"/>
  <c r="G377" i="9"/>
  <c r="O377" i="9" s="1"/>
  <c r="K377" i="9" l="1"/>
  <c r="J377" i="9"/>
  <c r="H377" i="9"/>
  <c r="E379" i="9" s="1"/>
  <c r="P379" i="9" s="1"/>
  <c r="I377" i="9" l="1"/>
  <c r="N377" i="9"/>
  <c r="P377" i="9" l="1"/>
  <c r="G169" i="9" l="1"/>
  <c r="O169" i="9" s="1"/>
  <c r="O558" i="9" s="1"/>
  <c r="K169" i="9" l="1"/>
  <c r="H169" i="9"/>
  <c r="N169" i="9" s="1"/>
  <c r="J169" i="9"/>
  <c r="U158" i="9"/>
  <c r="U181" i="9"/>
  <c r="I169" i="9" l="1"/>
  <c r="P169" i="9" s="1"/>
  <c r="A377" i="9" l="1"/>
  <c r="A316" i="9"/>
  <c r="A256" i="9"/>
  <c r="A284" i="9"/>
  <c r="A241" i="9"/>
  <c r="G198" i="9"/>
  <c r="H198" i="9" s="1"/>
  <c r="N198" i="9" s="1"/>
  <c r="G168" i="9"/>
  <c r="K168" i="9" s="1"/>
  <c r="A108" i="9"/>
  <c r="A138" i="9"/>
  <c r="A149" i="9"/>
  <c r="I198" i="9" l="1"/>
  <c r="M198" i="9"/>
  <c r="K198" i="9"/>
  <c r="J198" i="9"/>
  <c r="H168" i="9"/>
  <c r="N168" i="9" s="1"/>
  <c r="J168" i="9"/>
  <c r="M168" i="9"/>
  <c r="P198" i="9" l="1"/>
  <c r="I168" i="9"/>
  <c r="P168" i="9" s="1"/>
  <c r="G61" i="9"/>
  <c r="L61" i="9" s="1"/>
  <c r="K61" i="9" l="1"/>
  <c r="M61" i="9"/>
  <c r="H61" i="9"/>
  <c r="N61" i="9" s="1"/>
  <c r="J61" i="9"/>
  <c r="P62" i="9" l="1"/>
  <c r="I61" i="9"/>
  <c r="P61" i="9" s="1"/>
  <c r="U409" i="9" l="1"/>
  <c r="G409" i="9"/>
  <c r="K409" i="9" s="1"/>
  <c r="Q408" i="9"/>
  <c r="U398" i="9"/>
  <c r="U397" i="9"/>
  <c r="U396" i="9"/>
  <c r="G396" i="9"/>
  <c r="K396" i="9" s="1"/>
  <c r="Q395" i="9"/>
  <c r="U391" i="9"/>
  <c r="U390" i="9"/>
  <c r="U389" i="9"/>
  <c r="G389" i="9"/>
  <c r="J389" i="9" s="1"/>
  <c r="Q388" i="9"/>
  <c r="U384" i="9"/>
  <c r="U383" i="9"/>
  <c r="G383" i="9"/>
  <c r="Q382" i="9"/>
  <c r="U377" i="9"/>
  <c r="U376" i="9"/>
  <c r="G376" i="9"/>
  <c r="J376" i="9" s="1"/>
  <c r="Q375" i="9"/>
  <c r="U372" i="9"/>
  <c r="G370" i="9"/>
  <c r="K370" i="9" s="1"/>
  <c r="Q369" i="9"/>
  <c r="U365" i="9"/>
  <c r="U364" i="9"/>
  <c r="U363" i="9"/>
  <c r="U362" i="9"/>
  <c r="G362" i="9"/>
  <c r="M362" i="9" s="1"/>
  <c r="Q361" i="9"/>
  <c r="U357" i="9"/>
  <c r="G357" i="9"/>
  <c r="J357" i="9" s="1"/>
  <c r="U356" i="9"/>
  <c r="G356" i="9"/>
  <c r="K356" i="9" s="1"/>
  <c r="Q355" i="9"/>
  <c r="U349" i="9"/>
  <c r="G349" i="9"/>
  <c r="K349" i="9" s="1"/>
  <c r="U348" i="9"/>
  <c r="G348" i="9"/>
  <c r="K348" i="9" s="1"/>
  <c r="Q347" i="9"/>
  <c r="U340" i="9"/>
  <c r="G340" i="9"/>
  <c r="K340" i="9" s="1"/>
  <c r="U339" i="9"/>
  <c r="G339" i="9"/>
  <c r="J339" i="9" s="1"/>
  <c r="Q338" i="9"/>
  <c r="U330" i="9"/>
  <c r="U329" i="9"/>
  <c r="G329" i="9"/>
  <c r="K329" i="9" s="1"/>
  <c r="U328" i="9"/>
  <c r="G328" i="9"/>
  <c r="J328" i="9" s="1"/>
  <c r="Q327" i="9"/>
  <c r="U323" i="9"/>
  <c r="U322" i="9"/>
  <c r="U321" i="9"/>
  <c r="G321" i="9"/>
  <c r="K321" i="9" s="1"/>
  <c r="Q320" i="9"/>
  <c r="U315" i="9"/>
  <c r="G315" i="9"/>
  <c r="Q314" i="9"/>
  <c r="U306" i="9"/>
  <c r="G306" i="9"/>
  <c r="M306" i="9" s="1"/>
  <c r="U305" i="9"/>
  <c r="G305" i="9"/>
  <c r="N305" i="9" s="1"/>
  <c r="Q304" i="9"/>
  <c r="U296" i="9"/>
  <c r="U295" i="9"/>
  <c r="U294" i="9"/>
  <c r="Q293" i="9"/>
  <c r="U289" i="9"/>
  <c r="E289" i="9"/>
  <c r="G289" i="9" s="1"/>
  <c r="Q288" i="9"/>
  <c r="U284" i="9"/>
  <c r="G284" i="9"/>
  <c r="K284" i="9" s="1"/>
  <c r="U283" i="9"/>
  <c r="E283" i="9"/>
  <c r="G283" i="9" s="1"/>
  <c r="L283" i="9" s="1"/>
  <c r="Q282" i="9"/>
  <c r="U278" i="9"/>
  <c r="U277" i="9"/>
  <c r="E277" i="9"/>
  <c r="G277" i="9" s="1"/>
  <c r="M277" i="9" s="1"/>
  <c r="Q276" i="9"/>
  <c r="E269" i="9"/>
  <c r="G269" i="9" s="1"/>
  <c r="J269" i="9" s="1"/>
  <c r="U268" i="9"/>
  <c r="E268" i="9"/>
  <c r="G268" i="9" s="1"/>
  <c r="Q267" i="9"/>
  <c r="U263" i="9"/>
  <c r="U262" i="9"/>
  <c r="E262" i="9"/>
  <c r="G262" i="9" s="1"/>
  <c r="Q261" i="9"/>
  <c r="G257" i="9"/>
  <c r="K257" i="9" s="1"/>
  <c r="G256" i="9"/>
  <c r="K256" i="9" s="1"/>
  <c r="E255" i="9"/>
  <c r="G255" i="9" s="1"/>
  <c r="M255" i="9" s="1"/>
  <c r="Q254" i="9"/>
  <c r="E247" i="9"/>
  <c r="G247" i="9" s="1"/>
  <c r="J247" i="9" s="1"/>
  <c r="Q246" i="9"/>
  <c r="G241" i="9"/>
  <c r="J241" i="9" s="1"/>
  <c r="U240" i="9"/>
  <c r="E240" i="9"/>
  <c r="G240" i="9" s="1"/>
  <c r="K240" i="9" s="1"/>
  <c r="Q239" i="9"/>
  <c r="U233" i="9"/>
  <c r="U232" i="9"/>
  <c r="U231" i="9"/>
  <c r="U230" i="9"/>
  <c r="E230" i="9"/>
  <c r="G230" i="9" s="1"/>
  <c r="U229" i="9"/>
  <c r="E229" i="9"/>
  <c r="G229" i="9" s="1"/>
  <c r="K229" i="9" s="1"/>
  <c r="U228" i="9"/>
  <c r="E228" i="9"/>
  <c r="G228" i="9" s="1"/>
  <c r="Q227" i="9"/>
  <c r="U221" i="9"/>
  <c r="U220" i="9"/>
  <c r="G220" i="9"/>
  <c r="J220" i="9" s="1"/>
  <c r="U219" i="9"/>
  <c r="E219" i="9"/>
  <c r="G219" i="9" s="1"/>
  <c r="M219" i="9" s="1"/>
  <c r="Q218" i="9"/>
  <c r="E213" i="9"/>
  <c r="G213" i="9" s="1"/>
  <c r="E212" i="9"/>
  <c r="G212" i="9" s="1"/>
  <c r="U212" i="9"/>
  <c r="U211" i="9"/>
  <c r="E211" i="9"/>
  <c r="H211" i="9" s="1"/>
  <c r="U210" i="9"/>
  <c r="U209" i="9"/>
  <c r="G209" i="9"/>
  <c r="K209" i="9" s="1"/>
  <c r="E208" i="9"/>
  <c r="K208" i="9" s="1"/>
  <c r="Q207" i="9"/>
  <c r="G197" i="9"/>
  <c r="J197" i="9" s="1"/>
  <c r="U195" i="9"/>
  <c r="G195" i="9"/>
  <c r="M195" i="9" s="1"/>
  <c r="U194" i="9"/>
  <c r="U193" i="9"/>
  <c r="E193" i="9"/>
  <c r="G193" i="9" s="1"/>
  <c r="Q192" i="9"/>
  <c r="N187" i="9"/>
  <c r="P187" i="9" s="1"/>
  <c r="G186" i="9"/>
  <c r="J186" i="9" s="1"/>
  <c r="Q185" i="9"/>
  <c r="U180" i="9"/>
  <c r="U179" i="9"/>
  <c r="U178" i="9"/>
  <c r="U177" i="9"/>
  <c r="E177" i="9"/>
  <c r="G177" i="9" s="1"/>
  <c r="M177" i="9" s="1"/>
  <c r="U176" i="9"/>
  <c r="U175" i="9"/>
  <c r="U174" i="9"/>
  <c r="F174" i="9"/>
  <c r="F558" i="9" s="1"/>
  <c r="Q173" i="9"/>
  <c r="U169" i="9"/>
  <c r="U168" i="9"/>
  <c r="U167" i="9"/>
  <c r="G167" i="9"/>
  <c r="K167" i="9" s="1"/>
  <c r="U166" i="9"/>
  <c r="N166" i="9"/>
  <c r="U165" i="9"/>
  <c r="G165" i="9"/>
  <c r="M165" i="9" s="1"/>
  <c r="Q164" i="9"/>
  <c r="G160" i="9"/>
  <c r="N160" i="9" s="1"/>
  <c r="G159" i="9"/>
  <c r="N159" i="9" s="1"/>
  <c r="G158" i="9"/>
  <c r="H158" i="9" s="1"/>
  <c r="I158" i="9" s="1"/>
  <c r="G157" i="9"/>
  <c r="U156" i="9"/>
  <c r="E156" i="9"/>
  <c r="G156" i="9" s="1"/>
  <c r="Q155" i="9"/>
  <c r="G151" i="9"/>
  <c r="M151" i="9" s="1"/>
  <c r="E150" i="9"/>
  <c r="G150" i="9" s="1"/>
  <c r="G149" i="9"/>
  <c r="K149" i="9" s="1"/>
  <c r="U149" i="9"/>
  <c r="U148" i="9"/>
  <c r="U147" i="9"/>
  <c r="E147" i="9"/>
  <c r="G147" i="9" s="1"/>
  <c r="L147" i="9" s="1"/>
  <c r="Q146" i="9"/>
  <c r="G141" i="9"/>
  <c r="K141" i="9" s="1"/>
  <c r="U140" i="9"/>
  <c r="G140" i="9"/>
  <c r="J140" i="9" s="1"/>
  <c r="U139" i="9"/>
  <c r="E139" i="9"/>
  <c r="G139" i="9" s="1"/>
  <c r="E138" i="9"/>
  <c r="G138" i="9" s="1"/>
  <c r="E137" i="9"/>
  <c r="G137" i="9" s="1"/>
  <c r="Q136" i="9"/>
  <c r="U133" i="9"/>
  <c r="U132" i="9"/>
  <c r="U131" i="9"/>
  <c r="U130" i="9"/>
  <c r="U129" i="9"/>
  <c r="E128" i="9"/>
  <c r="G128" i="9" s="1"/>
  <c r="Q127" i="9"/>
  <c r="U119" i="9"/>
  <c r="G119" i="9"/>
  <c r="K119" i="9" s="1"/>
  <c r="U118" i="9"/>
  <c r="E118" i="9"/>
  <c r="G118" i="9" s="1"/>
  <c r="U117" i="9"/>
  <c r="G117" i="9"/>
  <c r="K117" i="9" s="1"/>
  <c r="U116" i="9"/>
  <c r="G115" i="9"/>
  <c r="E114" i="9"/>
  <c r="G114" i="9" s="1"/>
  <c r="Q113" i="9"/>
  <c r="U107" i="9"/>
  <c r="E107" i="9"/>
  <c r="G107" i="9" s="1"/>
  <c r="Q106" i="9"/>
  <c r="U100" i="9"/>
  <c r="U99" i="9"/>
  <c r="N99" i="9"/>
  <c r="U98" i="9"/>
  <c r="P98" i="9"/>
  <c r="U96" i="9"/>
  <c r="U95" i="9"/>
  <c r="E95" i="9"/>
  <c r="E96" i="9" s="1"/>
  <c r="G96" i="9" s="1"/>
  <c r="Q94" i="9"/>
  <c r="G83" i="9"/>
  <c r="K83" i="9" s="1"/>
  <c r="U82" i="9"/>
  <c r="G82" i="9"/>
  <c r="U81" i="9"/>
  <c r="G81" i="9"/>
  <c r="H81" i="9" s="1"/>
  <c r="I81" i="9" s="1"/>
  <c r="U80" i="9"/>
  <c r="G80" i="9"/>
  <c r="J80" i="9" s="1"/>
  <c r="U79" i="9"/>
  <c r="N79" i="9"/>
  <c r="U78" i="9"/>
  <c r="E78" i="9"/>
  <c r="G78" i="9" s="1"/>
  <c r="Q77" i="9"/>
  <c r="E72" i="9"/>
  <c r="G72" i="9" s="1"/>
  <c r="E71" i="9"/>
  <c r="G71" i="9" s="1"/>
  <c r="J71" i="9" s="1"/>
  <c r="U72" i="9"/>
  <c r="E70" i="9"/>
  <c r="G70" i="9" s="1"/>
  <c r="K70" i="9" s="1"/>
  <c r="U71" i="9"/>
  <c r="U70" i="9"/>
  <c r="U69" i="9"/>
  <c r="E68" i="9"/>
  <c r="G68" i="9" s="1"/>
  <c r="J68" i="9" s="1"/>
  <c r="U66" i="9"/>
  <c r="E66" i="9"/>
  <c r="G66" i="9" s="1"/>
  <c r="L66" i="9" s="1"/>
  <c r="Q65" i="9"/>
  <c r="E60" i="9"/>
  <c r="G60" i="9" s="1"/>
  <c r="G59" i="9"/>
  <c r="J59" i="9" s="1"/>
  <c r="U58" i="9"/>
  <c r="U57" i="9"/>
  <c r="G57" i="9"/>
  <c r="J57" i="9" s="1"/>
  <c r="U56" i="9"/>
  <c r="E56" i="9"/>
  <c r="G56" i="9" s="1"/>
  <c r="Q55" i="9"/>
  <c r="U48" i="9"/>
  <c r="G46" i="9"/>
  <c r="U47" i="9"/>
  <c r="U46" i="9"/>
  <c r="U45" i="9"/>
  <c r="U44" i="9"/>
  <c r="E44" i="9"/>
  <c r="G44" i="9" s="1"/>
  <c r="U43" i="9"/>
  <c r="U42" i="9"/>
  <c r="E42" i="9"/>
  <c r="E43" i="9" s="1"/>
  <c r="G43" i="9" s="1"/>
  <c r="Q41" i="9"/>
  <c r="U36" i="9"/>
  <c r="U35" i="9"/>
  <c r="U34" i="9"/>
  <c r="G34" i="9"/>
  <c r="U33" i="9"/>
  <c r="G33" i="9"/>
  <c r="U32" i="9"/>
  <c r="U31" i="9"/>
  <c r="U30" i="9"/>
  <c r="E30" i="9"/>
  <c r="E31" i="9" s="1"/>
  <c r="E32" i="9" s="1"/>
  <c r="G32" i="9" s="1"/>
  <c r="Q29" i="9"/>
  <c r="U25" i="9"/>
  <c r="G23" i="9"/>
  <c r="K23" i="9" s="1"/>
  <c r="U24" i="9"/>
  <c r="U23" i="9"/>
  <c r="U22" i="9"/>
  <c r="G22" i="9"/>
  <c r="J22" i="9" s="1"/>
  <c r="U21" i="9"/>
  <c r="G21" i="9"/>
  <c r="U20" i="9"/>
  <c r="U19" i="9"/>
  <c r="U18" i="9"/>
  <c r="E18" i="9"/>
  <c r="G18" i="9" s="1"/>
  <c r="K18" i="9" s="1"/>
  <c r="Q17" i="9"/>
  <c r="G11" i="9"/>
  <c r="K11" i="9" s="1"/>
  <c r="G10" i="9"/>
  <c r="K10" i="9" s="1"/>
  <c r="E7" i="9"/>
  <c r="Q6" i="9"/>
  <c r="G174" i="1"/>
  <c r="M174" i="1" s="1"/>
  <c r="T47" i="1"/>
  <c r="T34" i="1"/>
  <c r="U558" i="9" l="1"/>
  <c r="E8" i="9"/>
  <c r="G8" i="9" s="1"/>
  <c r="M8" i="9" s="1"/>
  <c r="G7" i="9"/>
  <c r="H7" i="9" s="1"/>
  <c r="K78" i="9"/>
  <c r="M78" i="9"/>
  <c r="H289" i="9"/>
  <c r="N289" i="9" s="1"/>
  <c r="N315" i="9"/>
  <c r="E316" i="9" s="1"/>
  <c r="P316" i="9" s="1"/>
  <c r="J315" i="9"/>
  <c r="K315" i="9"/>
  <c r="M315" i="9"/>
  <c r="E295" i="9"/>
  <c r="P166" i="9"/>
  <c r="G174" i="9"/>
  <c r="M174" i="9" s="1"/>
  <c r="M269" i="9"/>
  <c r="L119" i="9"/>
  <c r="M167" i="9"/>
  <c r="K22" i="9"/>
  <c r="J23" i="9"/>
  <c r="P23" i="9" s="1"/>
  <c r="J70" i="9"/>
  <c r="H119" i="9"/>
  <c r="N119" i="9" s="1"/>
  <c r="K140" i="9"/>
  <c r="H349" i="9"/>
  <c r="N349" i="9" s="1"/>
  <c r="J396" i="9"/>
  <c r="P396" i="9" s="1"/>
  <c r="J119" i="9"/>
  <c r="N186" i="9"/>
  <c r="H257" i="9"/>
  <c r="N257" i="9" s="1"/>
  <c r="J340" i="9"/>
  <c r="J348" i="9"/>
  <c r="H409" i="9"/>
  <c r="N409" i="9" s="1"/>
  <c r="E410" i="9" s="1"/>
  <c r="K212" i="9"/>
  <c r="H212" i="9"/>
  <c r="N212" i="9" s="1"/>
  <c r="J11" i="9"/>
  <c r="K59" i="9"/>
  <c r="H149" i="9"/>
  <c r="N149" i="9" s="1"/>
  <c r="H159" i="9"/>
  <c r="I159" i="9" s="1"/>
  <c r="J10" i="9"/>
  <c r="M59" i="9"/>
  <c r="H209" i="9"/>
  <c r="N209" i="9" s="1"/>
  <c r="K241" i="9"/>
  <c r="K151" i="9"/>
  <c r="H241" i="9"/>
  <c r="I241" i="9" s="1"/>
  <c r="L11" i="9"/>
  <c r="N81" i="9"/>
  <c r="G95" i="9"/>
  <c r="L95" i="9" s="1"/>
  <c r="J159" i="9"/>
  <c r="H167" i="9"/>
  <c r="I167" i="9" s="1"/>
  <c r="E67" i="9"/>
  <c r="G67" i="9" s="1"/>
  <c r="J67" i="9" s="1"/>
  <c r="K80" i="9"/>
  <c r="N83" i="9"/>
  <c r="J167" i="9"/>
  <c r="K197" i="9"/>
  <c r="J284" i="9"/>
  <c r="J306" i="9"/>
  <c r="H396" i="9"/>
  <c r="N396" i="9" s="1"/>
  <c r="E397" i="9" s="1"/>
  <c r="P397" i="9" s="1"/>
  <c r="J349" i="9"/>
  <c r="P349" i="9" s="1"/>
  <c r="M356" i="9"/>
  <c r="J370" i="9"/>
  <c r="K376" i="9"/>
  <c r="J72" i="9"/>
  <c r="K72" i="9"/>
  <c r="J138" i="9"/>
  <c r="K138" i="9"/>
  <c r="K268" i="9"/>
  <c r="H268" i="9"/>
  <c r="I268" i="9" s="1"/>
  <c r="M268" i="9"/>
  <c r="J44" i="9"/>
  <c r="K44" i="9"/>
  <c r="L284" i="9"/>
  <c r="H306" i="9"/>
  <c r="N306" i="9"/>
  <c r="H315" i="9"/>
  <c r="I315" i="9" s="1"/>
  <c r="K328" i="9"/>
  <c r="M340" i="9"/>
  <c r="H356" i="9"/>
  <c r="N356" i="9" s="1"/>
  <c r="H370" i="9"/>
  <c r="N370" i="9" s="1"/>
  <c r="E371" i="9" s="1"/>
  <c r="P371" i="9" s="1"/>
  <c r="K389" i="9"/>
  <c r="J409" i="9"/>
  <c r="P409" i="9" s="1"/>
  <c r="J141" i="9"/>
  <c r="K159" i="9"/>
  <c r="K160" i="9"/>
  <c r="H195" i="9"/>
  <c r="N195" i="9" s="1"/>
  <c r="H197" i="9"/>
  <c r="N197" i="9" s="1"/>
  <c r="J209" i="9"/>
  <c r="J219" i="9"/>
  <c r="J229" i="9"/>
  <c r="J257" i="9"/>
  <c r="P257" i="9" s="1"/>
  <c r="K283" i="9"/>
  <c r="H284" i="9"/>
  <c r="M284" i="9"/>
  <c r="M289" i="9"/>
  <c r="M321" i="9"/>
  <c r="J329" i="9"/>
  <c r="P329" i="9" s="1"/>
  <c r="H340" i="9"/>
  <c r="J18" i="9"/>
  <c r="K68" i="9"/>
  <c r="J160" i="9"/>
  <c r="H229" i="9"/>
  <c r="H240" i="9"/>
  <c r="N240" i="9" s="1"/>
  <c r="H255" i="9"/>
  <c r="N255" i="9" s="1"/>
  <c r="H283" i="9"/>
  <c r="M11" i="9"/>
  <c r="H23" i="9"/>
  <c r="N23" i="9" s="1"/>
  <c r="K57" i="9"/>
  <c r="J78" i="9"/>
  <c r="H83" i="9"/>
  <c r="I83" i="9" s="1"/>
  <c r="J117" i="9"/>
  <c r="H11" i="9"/>
  <c r="N11" i="9" s="1"/>
  <c r="H59" i="9"/>
  <c r="N59" i="9" s="1"/>
  <c r="J83" i="9"/>
  <c r="M119" i="9"/>
  <c r="M209" i="9"/>
  <c r="J240" i="9"/>
  <c r="H321" i="9"/>
  <c r="H329" i="9"/>
  <c r="N329" i="9" s="1"/>
  <c r="M370" i="9"/>
  <c r="M43" i="9"/>
  <c r="K43" i="9"/>
  <c r="J43" i="9"/>
  <c r="H43" i="9"/>
  <c r="N43" i="9" s="1"/>
  <c r="L43" i="9"/>
  <c r="J32" i="9"/>
  <c r="K32" i="9"/>
  <c r="M32" i="9"/>
  <c r="H32" i="9"/>
  <c r="N32" i="9" s="1"/>
  <c r="L32" i="9"/>
  <c r="G31" i="9"/>
  <c r="L56" i="9"/>
  <c r="H56" i="9"/>
  <c r="N56" i="9" s="1"/>
  <c r="J56" i="9"/>
  <c r="M56" i="9"/>
  <c r="L60" i="9"/>
  <c r="H60" i="9"/>
  <c r="N60" i="9" s="1"/>
  <c r="M60" i="9"/>
  <c r="K60" i="9"/>
  <c r="J60" i="9"/>
  <c r="M118" i="9"/>
  <c r="L118" i="9"/>
  <c r="K118" i="9"/>
  <c r="J118" i="9"/>
  <c r="M150" i="9"/>
  <c r="H150" i="9"/>
  <c r="N150" i="9" s="1"/>
  <c r="K150" i="9"/>
  <c r="J150" i="9"/>
  <c r="L150" i="9"/>
  <c r="K21" i="9"/>
  <c r="J21" i="9"/>
  <c r="H21" i="9"/>
  <c r="N21" i="9" s="1"/>
  <c r="J34" i="9"/>
  <c r="K34" i="9"/>
  <c r="H34" i="9"/>
  <c r="N34" i="9" s="1"/>
  <c r="M46" i="9"/>
  <c r="K46" i="9"/>
  <c r="J46" i="9"/>
  <c r="H46" i="9"/>
  <c r="N46" i="9" s="1"/>
  <c r="K56" i="9"/>
  <c r="M82" i="9"/>
  <c r="I82" i="9"/>
  <c r="K82" i="9"/>
  <c r="J82" i="9"/>
  <c r="L97" i="9"/>
  <c r="H97" i="9"/>
  <c r="N97" i="9" s="1"/>
  <c r="K97" i="9"/>
  <c r="J97" i="9"/>
  <c r="H118" i="9"/>
  <c r="N118" i="9" s="1"/>
  <c r="L137" i="9"/>
  <c r="H137" i="9"/>
  <c r="N137" i="9" s="1"/>
  <c r="M137" i="9"/>
  <c r="K137" i="9"/>
  <c r="L139" i="9"/>
  <c r="H139" i="9"/>
  <c r="N139" i="9" s="1"/>
  <c r="M139" i="9"/>
  <c r="K139" i="9"/>
  <c r="H156" i="9"/>
  <c r="K156" i="9"/>
  <c r="J156" i="9"/>
  <c r="M156" i="9"/>
  <c r="M21" i="9"/>
  <c r="L33" i="9"/>
  <c r="H33" i="9"/>
  <c r="N33" i="9" s="1"/>
  <c r="K33" i="9"/>
  <c r="J33" i="9"/>
  <c r="M34" i="9"/>
  <c r="L46" i="9"/>
  <c r="N82" i="9"/>
  <c r="J96" i="9"/>
  <c r="K96" i="9"/>
  <c r="M96" i="9"/>
  <c r="H96" i="9"/>
  <c r="N96" i="9" s="1"/>
  <c r="M97" i="9"/>
  <c r="M107" i="9"/>
  <c r="K107" i="9"/>
  <c r="J107" i="9"/>
  <c r="H107" i="9"/>
  <c r="N107" i="9" s="1"/>
  <c r="E108" i="9" s="1"/>
  <c r="P108" i="9" s="1"/>
  <c r="L114" i="9"/>
  <c r="H114" i="9"/>
  <c r="N114" i="9" s="1"/>
  <c r="M114" i="9"/>
  <c r="K114" i="9"/>
  <c r="L128" i="9"/>
  <c r="H128" i="9"/>
  <c r="N128" i="9" s="1"/>
  <c r="M128" i="9"/>
  <c r="K128" i="9"/>
  <c r="J137" i="9"/>
  <c r="J139" i="9"/>
  <c r="H213" i="9"/>
  <c r="N213" i="9" s="1"/>
  <c r="K213" i="9"/>
  <c r="J213" i="9"/>
  <c r="M33" i="9"/>
  <c r="K66" i="9"/>
  <c r="J66" i="9"/>
  <c r="M66" i="9"/>
  <c r="H66" i="9"/>
  <c r="N66" i="9" s="1"/>
  <c r="L71" i="9"/>
  <c r="H71" i="9"/>
  <c r="N71" i="9" s="1"/>
  <c r="M71" i="9"/>
  <c r="K71" i="9"/>
  <c r="L96" i="9"/>
  <c r="J114" i="9"/>
  <c r="J128" i="9"/>
  <c r="M193" i="9"/>
  <c r="H193" i="9"/>
  <c r="N193" i="9" s="1"/>
  <c r="K193" i="9"/>
  <c r="M211" i="9"/>
  <c r="N211" i="9"/>
  <c r="K211" i="9"/>
  <c r="M220" i="9"/>
  <c r="K228" i="9"/>
  <c r="H228" i="9"/>
  <c r="N228" i="9" s="1"/>
  <c r="L44" i="9"/>
  <c r="L57" i="9"/>
  <c r="L68" i="9"/>
  <c r="L70" i="9"/>
  <c r="K147" i="9"/>
  <c r="J147" i="9"/>
  <c r="M147" i="9"/>
  <c r="J165" i="9"/>
  <c r="H165" i="9"/>
  <c r="J177" i="9"/>
  <c r="K177" i="9"/>
  <c r="N188" i="9"/>
  <c r="M208" i="9"/>
  <c r="N208" i="9"/>
  <c r="H220" i="9"/>
  <c r="N220" i="9" s="1"/>
  <c r="J228" i="9"/>
  <c r="K230" i="9"/>
  <c r="M262" i="9"/>
  <c r="H262" i="9"/>
  <c r="N262" i="9" s="1"/>
  <c r="E263" i="9" s="1"/>
  <c r="P263" i="9" s="1"/>
  <c r="M383" i="9"/>
  <c r="H383" i="9"/>
  <c r="E384" i="9" s="1"/>
  <c r="P384" i="9" s="1"/>
  <c r="K383" i="9"/>
  <c r="L10" i="9"/>
  <c r="H10" i="9"/>
  <c r="N10" i="9" s="1"/>
  <c r="M10" i="9"/>
  <c r="L18" i="9"/>
  <c r="E19" i="9"/>
  <c r="G19" i="9" s="1"/>
  <c r="H44" i="9"/>
  <c r="N44" i="9" s="1"/>
  <c r="M44" i="9"/>
  <c r="H57" i="9"/>
  <c r="N57" i="9" s="1"/>
  <c r="M57" i="9"/>
  <c r="H68" i="9"/>
  <c r="N68" i="9" s="1"/>
  <c r="M68" i="9"/>
  <c r="H70" i="9"/>
  <c r="N70" i="9" s="1"/>
  <c r="M70" i="9"/>
  <c r="L72" i="9"/>
  <c r="H78" i="9"/>
  <c r="I78" i="9" s="1"/>
  <c r="N78" i="9"/>
  <c r="L115" i="9"/>
  <c r="L117" i="9"/>
  <c r="H117" i="9"/>
  <c r="N117" i="9" s="1"/>
  <c r="M117" i="9"/>
  <c r="L138" i="9"/>
  <c r="L140" i="9"/>
  <c r="L141" i="9"/>
  <c r="H141" i="9"/>
  <c r="N141" i="9" s="1"/>
  <c r="M141" i="9"/>
  <c r="H147" i="9"/>
  <c r="N147" i="9" s="1"/>
  <c r="L151" i="9"/>
  <c r="H151" i="9"/>
  <c r="J151" i="9"/>
  <c r="H177" i="9"/>
  <c r="N177" i="9" s="1"/>
  <c r="M186" i="9"/>
  <c r="H186" i="9"/>
  <c r="I186" i="9" s="1"/>
  <c r="K186" i="9"/>
  <c r="H188" i="9"/>
  <c r="I188" i="9" s="1"/>
  <c r="J193" i="9"/>
  <c r="J211" i="9"/>
  <c r="K220" i="9"/>
  <c r="M228" i="9"/>
  <c r="H230" i="9"/>
  <c r="N230" i="9" s="1"/>
  <c r="J262" i="9"/>
  <c r="H305" i="9"/>
  <c r="I305" i="9" s="1"/>
  <c r="J383" i="9"/>
  <c r="H18" i="9"/>
  <c r="M18" i="9"/>
  <c r="M22" i="9"/>
  <c r="H22" i="9"/>
  <c r="G30" i="9"/>
  <c r="G42" i="9"/>
  <c r="L59" i="9"/>
  <c r="H72" i="9"/>
  <c r="M72" i="9"/>
  <c r="M80" i="9"/>
  <c r="H80" i="9"/>
  <c r="I80" i="9" s="1"/>
  <c r="N80" i="9"/>
  <c r="H115" i="9"/>
  <c r="M115" i="9"/>
  <c r="H138" i="9"/>
  <c r="M138" i="9"/>
  <c r="H140" i="9"/>
  <c r="M140" i="9"/>
  <c r="N157" i="9"/>
  <c r="H157" i="9"/>
  <c r="I157" i="9" s="1"/>
  <c r="N158" i="9"/>
  <c r="J158" i="9"/>
  <c r="K158" i="9"/>
  <c r="M158" i="9"/>
  <c r="H160" i="9"/>
  <c r="I160" i="9" s="1"/>
  <c r="K165" i="9"/>
  <c r="J195" i="9"/>
  <c r="K195" i="9"/>
  <c r="J208" i="9"/>
  <c r="K219" i="9"/>
  <c r="H219" i="9"/>
  <c r="N219" i="9" s="1"/>
  <c r="J230" i="9"/>
  <c r="M256" i="9"/>
  <c r="H256" i="9"/>
  <c r="N256" i="9" s="1"/>
  <c r="J256" i="9"/>
  <c r="K262" i="9"/>
  <c r="M357" i="9"/>
  <c r="H357" i="9"/>
  <c r="N357" i="9" s="1"/>
  <c r="K357" i="9"/>
  <c r="J362" i="9"/>
  <c r="H362" i="9"/>
  <c r="N362" i="9" s="1"/>
  <c r="E363" i="9" s="1"/>
  <c r="P363" i="9" s="1"/>
  <c r="K362" i="9"/>
  <c r="J149" i="9"/>
  <c r="M149" i="9"/>
  <c r="M159" i="9"/>
  <c r="M197" i="9"/>
  <c r="M247" i="9"/>
  <c r="H247" i="9"/>
  <c r="N247" i="9" s="1"/>
  <c r="E248" i="9" s="1"/>
  <c r="P248" i="9" s="1"/>
  <c r="K247" i="9"/>
  <c r="H277" i="9"/>
  <c r="K277" i="9"/>
  <c r="J277" i="9"/>
  <c r="M328" i="9"/>
  <c r="H328" i="9"/>
  <c r="N328" i="9" s="1"/>
  <c r="M339" i="9"/>
  <c r="H339" i="9"/>
  <c r="K339" i="9"/>
  <c r="M376" i="9"/>
  <c r="H376" i="9"/>
  <c r="M389" i="9"/>
  <c r="H389" i="9"/>
  <c r="N389" i="9" s="1"/>
  <c r="E390" i="9" s="1"/>
  <c r="P390" i="9" s="1"/>
  <c r="J212" i="9"/>
  <c r="M212" i="9"/>
  <c r="M229" i="9"/>
  <c r="M240" i="9"/>
  <c r="M241" i="9"/>
  <c r="H269" i="9"/>
  <c r="K269" i="9"/>
  <c r="J283" i="9"/>
  <c r="M283" i="9"/>
  <c r="M348" i="9"/>
  <c r="H348" i="9"/>
  <c r="N348" i="9" s="1"/>
  <c r="J356" i="9"/>
  <c r="J255" i="9"/>
  <c r="J268" i="9"/>
  <c r="J289" i="9"/>
  <c r="K306" i="9"/>
  <c r="J321" i="9"/>
  <c r="K255" i="9"/>
  <c r="K289" i="9"/>
  <c r="J174" i="1"/>
  <c r="K174" i="1"/>
  <c r="H174" i="1"/>
  <c r="E200" i="9" l="1"/>
  <c r="P78" i="9"/>
  <c r="P80" i="9"/>
  <c r="P82" i="9"/>
  <c r="P83" i="9"/>
  <c r="E286" i="9"/>
  <c r="I289" i="9"/>
  <c r="E290" i="9"/>
  <c r="P290" i="9" s="1"/>
  <c r="E350" i="9"/>
  <c r="P350" i="9" s="1"/>
  <c r="P200" i="9"/>
  <c r="E222" i="9"/>
  <c r="P222" i="9" s="1"/>
  <c r="E259" i="9"/>
  <c r="P259" i="9" s="1"/>
  <c r="P289" i="9"/>
  <c r="E63" i="9"/>
  <c r="P63" i="9" s="1"/>
  <c r="E342" i="9"/>
  <c r="P342" i="9" s="1"/>
  <c r="E308" i="9"/>
  <c r="P308" i="9" s="1"/>
  <c r="E85" i="9"/>
  <c r="P85" i="9" s="1"/>
  <c r="E190" i="9"/>
  <c r="P190" i="9" s="1"/>
  <c r="P295" i="9"/>
  <c r="W295" i="9" s="1"/>
  <c r="P410" i="9"/>
  <c r="W410" i="9" s="1"/>
  <c r="E330" i="9"/>
  <c r="P330" i="9" s="1"/>
  <c r="H174" i="9"/>
  <c r="N174" i="9" s="1"/>
  <c r="E178" i="9" s="1"/>
  <c r="P178" i="9" s="1"/>
  <c r="W397" i="9"/>
  <c r="J174" i="9"/>
  <c r="G558" i="9"/>
  <c r="H8" i="9"/>
  <c r="N8" i="9" s="1"/>
  <c r="E131" i="9"/>
  <c r="P131" i="9" s="1"/>
  <c r="I321" i="9"/>
  <c r="N321" i="9"/>
  <c r="E322" i="9" s="1"/>
  <c r="P322" i="9" s="1"/>
  <c r="E358" i="9"/>
  <c r="P358" i="9" s="1"/>
  <c r="E214" i="9"/>
  <c r="P214" i="9" s="1"/>
  <c r="I306" i="9"/>
  <c r="N283" i="9"/>
  <c r="P286" i="9"/>
  <c r="N376" i="9"/>
  <c r="E378" i="9"/>
  <c r="P378" i="9" s="1"/>
  <c r="N151" i="9"/>
  <c r="E153" i="9" s="1"/>
  <c r="N383" i="9"/>
  <c r="N339" i="9"/>
  <c r="N156" i="9"/>
  <c r="E161" i="9" s="1"/>
  <c r="P161" i="9" s="1"/>
  <c r="P186" i="9"/>
  <c r="K174" i="9"/>
  <c r="J8" i="9"/>
  <c r="K8" i="9"/>
  <c r="L8" i="9"/>
  <c r="P340" i="9"/>
  <c r="P348" i="9"/>
  <c r="I119" i="9"/>
  <c r="P119" i="9" s="1"/>
  <c r="M95" i="9"/>
  <c r="I283" i="9"/>
  <c r="K67" i="9"/>
  <c r="H67" i="9"/>
  <c r="N67" i="9" s="1"/>
  <c r="I59" i="9"/>
  <c r="P59" i="9" s="1"/>
  <c r="P22" i="9"/>
  <c r="N268" i="9"/>
  <c r="L67" i="9"/>
  <c r="P370" i="9"/>
  <c r="W371" i="9" s="1"/>
  <c r="P21" i="9"/>
  <c r="P306" i="9"/>
  <c r="I349" i="9"/>
  <c r="I257" i="9"/>
  <c r="N241" i="9"/>
  <c r="P241" i="9" s="1"/>
  <c r="P389" i="9"/>
  <c r="W390" i="9" s="1"/>
  <c r="I151" i="9"/>
  <c r="I70" i="9"/>
  <c r="P70" i="9" s="1"/>
  <c r="I409" i="9"/>
  <c r="I208" i="9"/>
  <c r="P208" i="9" s="1"/>
  <c r="I376" i="9"/>
  <c r="I339" i="9"/>
  <c r="I212" i="9"/>
  <c r="I68" i="9"/>
  <c r="P68" i="9" s="1"/>
  <c r="I228" i="9"/>
  <c r="P228" i="9" s="1"/>
  <c r="I66" i="9"/>
  <c r="P66" i="9" s="1"/>
  <c r="I107" i="9"/>
  <c r="I396" i="9"/>
  <c r="I209" i="9"/>
  <c r="P209" i="9" s="1"/>
  <c r="P213" i="9"/>
  <c r="I149" i="9"/>
  <c r="P149" i="9" s="1"/>
  <c r="I139" i="9"/>
  <c r="P139" i="9" s="1"/>
  <c r="I46" i="9"/>
  <c r="P46" i="9" s="1"/>
  <c r="I43" i="9"/>
  <c r="P43" i="9" s="1"/>
  <c r="I240" i="9"/>
  <c r="P240" i="9" s="1"/>
  <c r="P376" i="9"/>
  <c r="N167" i="9"/>
  <c r="P167" i="9" s="1"/>
  <c r="P211" i="9"/>
  <c r="H95" i="9"/>
  <c r="N95" i="9" s="1"/>
  <c r="E99" i="9" s="1"/>
  <c r="P99" i="9" s="1"/>
  <c r="P356" i="9"/>
  <c r="P362" i="9"/>
  <c r="W363" i="9" s="1"/>
  <c r="P256" i="9"/>
  <c r="P383" i="9"/>
  <c r="W384" i="9" s="1"/>
  <c r="J95" i="9"/>
  <c r="M67" i="9"/>
  <c r="I370" i="9"/>
  <c r="I328" i="9"/>
  <c r="I197" i="9"/>
  <c r="P197" i="9" s="1"/>
  <c r="P357" i="9"/>
  <c r="I57" i="9"/>
  <c r="P57" i="9" s="1"/>
  <c r="K95" i="9"/>
  <c r="N284" i="9"/>
  <c r="I284" i="9"/>
  <c r="I33" i="9"/>
  <c r="P33" i="9" s="1"/>
  <c r="I34" i="9"/>
  <c r="P34" i="9" s="1"/>
  <c r="P255" i="9"/>
  <c r="I177" i="9"/>
  <c r="P177" i="9" s="1"/>
  <c r="I11" i="9"/>
  <c r="P11" i="9" s="1"/>
  <c r="I211" i="9"/>
  <c r="I340" i="9"/>
  <c r="N340" i="9"/>
  <c r="I389" i="9"/>
  <c r="I147" i="9"/>
  <c r="P147" i="9" s="1"/>
  <c r="I356" i="9"/>
  <c r="P212" i="9"/>
  <c r="P328" i="9"/>
  <c r="I362" i="9"/>
  <c r="I219" i="9"/>
  <c r="P219" i="9" s="1"/>
  <c r="I117" i="9"/>
  <c r="P117" i="9" s="1"/>
  <c r="I195" i="9"/>
  <c r="P195" i="9" s="1"/>
  <c r="I114" i="9"/>
  <c r="I137" i="9"/>
  <c r="I60" i="9"/>
  <c r="P60" i="9" s="1"/>
  <c r="I23" i="9"/>
  <c r="I229" i="9"/>
  <c r="N229" i="9"/>
  <c r="E232" i="9" s="1"/>
  <c r="I255" i="9"/>
  <c r="I329" i="9"/>
  <c r="I277" i="9"/>
  <c r="N277" i="9"/>
  <c r="E278" i="9" s="1"/>
  <c r="P278" i="9" s="1"/>
  <c r="N72" i="9"/>
  <c r="I72" i="9"/>
  <c r="N22" i="9"/>
  <c r="I22" i="9"/>
  <c r="N140" i="9"/>
  <c r="I140" i="9"/>
  <c r="I44" i="9"/>
  <c r="P44" i="9" s="1"/>
  <c r="I10" i="9"/>
  <c r="P10" i="9" s="1"/>
  <c r="L19" i="9"/>
  <c r="H19" i="9"/>
  <c r="N19" i="9" s="1"/>
  <c r="M19" i="9"/>
  <c r="K19" i="9"/>
  <c r="J19" i="9"/>
  <c r="I213" i="9"/>
  <c r="I150" i="9"/>
  <c r="P150" i="9" s="1"/>
  <c r="N269" i="9"/>
  <c r="I269" i="9"/>
  <c r="P339" i="9"/>
  <c r="I247" i="9"/>
  <c r="N115" i="9"/>
  <c r="E121" i="9" s="1"/>
  <c r="P121" i="9" s="1"/>
  <c r="I115" i="9"/>
  <c r="L42" i="9"/>
  <c r="H42" i="9"/>
  <c r="N42" i="9" s="1"/>
  <c r="M42" i="9"/>
  <c r="K42" i="9"/>
  <c r="J42" i="9"/>
  <c r="L7" i="9"/>
  <c r="K7" i="9"/>
  <c r="J7" i="9"/>
  <c r="M7" i="9"/>
  <c r="I262" i="9"/>
  <c r="I230" i="9"/>
  <c r="P230" i="9" s="1"/>
  <c r="N165" i="9"/>
  <c r="I118" i="9"/>
  <c r="P118" i="9" s="1"/>
  <c r="I56" i="9"/>
  <c r="P56" i="9" s="1"/>
  <c r="M31" i="9"/>
  <c r="K31" i="9"/>
  <c r="J31" i="9"/>
  <c r="H31" i="9"/>
  <c r="N31" i="9" s="1"/>
  <c r="L31" i="9"/>
  <c r="I348" i="9"/>
  <c r="I357" i="9"/>
  <c r="I256" i="9"/>
  <c r="I141" i="9"/>
  <c r="P141" i="9" s="1"/>
  <c r="N138" i="9"/>
  <c r="I138" i="9"/>
  <c r="L30" i="9"/>
  <c r="H30" i="9"/>
  <c r="N30" i="9" s="1"/>
  <c r="M30" i="9"/>
  <c r="K30" i="9"/>
  <c r="J30" i="9"/>
  <c r="N18" i="9"/>
  <c r="I18" i="9"/>
  <c r="I165" i="9"/>
  <c r="I383" i="9"/>
  <c r="I193" i="9"/>
  <c r="P193" i="9" s="1"/>
  <c r="I220" i="9"/>
  <c r="P220" i="9" s="1"/>
  <c r="I71" i="9"/>
  <c r="P71" i="9" s="1"/>
  <c r="I128" i="9"/>
  <c r="I96" i="9"/>
  <c r="P96" i="9" s="1"/>
  <c r="I156" i="9"/>
  <c r="I97" i="9"/>
  <c r="P97" i="9" s="1"/>
  <c r="I21" i="9"/>
  <c r="I32" i="9"/>
  <c r="P32" i="9" s="1"/>
  <c r="I174" i="1"/>
  <c r="N174" i="1"/>
  <c r="W349" i="9" l="1"/>
  <c r="W290" i="9"/>
  <c r="L260" i="9"/>
  <c r="L273" i="9"/>
  <c r="L291" i="9"/>
  <c r="L266" i="9"/>
  <c r="P266" i="9" s="1"/>
  <c r="N568" i="9" s="1"/>
  <c r="W329" i="9"/>
  <c r="W219" i="9"/>
  <c r="F566" i="9"/>
  <c r="G560" i="9"/>
  <c r="E37" i="9"/>
  <c r="P37" i="9" s="1"/>
  <c r="W357" i="9"/>
  <c r="W193" i="9"/>
  <c r="M558" i="9"/>
  <c r="E243" i="9"/>
  <c r="P243" i="9" s="1"/>
  <c r="W241" i="9" s="1"/>
  <c r="L294" i="9"/>
  <c r="L296" i="9"/>
  <c r="E48" i="9"/>
  <c r="P48" i="9" s="1"/>
  <c r="E170" i="9"/>
  <c r="P170" i="9" s="1"/>
  <c r="P247" i="9"/>
  <c r="W248" i="9" s="1"/>
  <c r="P232" i="9"/>
  <c r="P153" i="9"/>
  <c r="E143" i="9"/>
  <c r="P143" i="9" s="1"/>
  <c r="I8" i="9"/>
  <c r="P8" i="9" s="1"/>
  <c r="I174" i="9"/>
  <c r="P174" i="9" s="1"/>
  <c r="W174" i="9" s="1"/>
  <c r="W56" i="9"/>
  <c r="W256" i="9"/>
  <c r="J558" i="9"/>
  <c r="E24" i="9"/>
  <c r="P24" i="9" s="1"/>
  <c r="P321" i="9"/>
  <c r="P165" i="9"/>
  <c r="P138" i="9"/>
  <c r="L264" i="9"/>
  <c r="P264" i="9" s="1"/>
  <c r="E74" i="9"/>
  <c r="P74" i="9" s="1"/>
  <c r="H558" i="9"/>
  <c r="W377" i="9"/>
  <c r="K558" i="9"/>
  <c r="P137" i="9"/>
  <c r="W186" i="9"/>
  <c r="L279" i="9"/>
  <c r="P279" i="9" s="1"/>
  <c r="L317" i="9"/>
  <c r="P317" i="9" s="1"/>
  <c r="E270" i="9"/>
  <c r="P270" i="9" s="1"/>
  <c r="L162" i="9"/>
  <c r="P162" i="9" s="1"/>
  <c r="L109" i="9"/>
  <c r="P109" i="9" s="1"/>
  <c r="L271" i="9"/>
  <c r="P140" i="9"/>
  <c r="P128" i="9"/>
  <c r="W128" i="9" s="1"/>
  <c r="P283" i="9"/>
  <c r="P115" i="9"/>
  <c r="P151" i="9"/>
  <c r="L307" i="9"/>
  <c r="P307" i="9" s="1"/>
  <c r="W306" i="9" s="1"/>
  <c r="L258" i="9"/>
  <c r="W340" i="9"/>
  <c r="N7" i="9"/>
  <c r="N558" i="9" s="1"/>
  <c r="I19" i="9"/>
  <c r="P19" i="9" s="1"/>
  <c r="I95" i="9"/>
  <c r="I30" i="9"/>
  <c r="P30" i="9" s="1"/>
  <c r="I67" i="9"/>
  <c r="P67" i="9" s="1"/>
  <c r="P18" i="9"/>
  <c r="I42" i="9"/>
  <c r="P42" i="9" s="1"/>
  <c r="I31" i="9"/>
  <c r="P31" i="9" s="1"/>
  <c r="P229" i="9"/>
  <c r="P284" i="9"/>
  <c r="I7" i="9"/>
  <c r="L306" i="9"/>
  <c r="L304" i="9"/>
  <c r="L257" i="9"/>
  <c r="L314" i="9"/>
  <c r="L289" i="9"/>
  <c r="L255" i="9"/>
  <c r="L315" i="9"/>
  <c r="P315" i="9" s="1"/>
  <c r="L268" i="9"/>
  <c r="P268" i="9" s="1"/>
  <c r="L158" i="9"/>
  <c r="P158" i="9" s="1"/>
  <c r="L157" i="9"/>
  <c r="L269" i="9"/>
  <c r="P269" i="9" s="1"/>
  <c r="L107" i="9"/>
  <c r="P107" i="9" s="1"/>
  <c r="L160" i="9"/>
  <c r="P160" i="9" s="1"/>
  <c r="L256" i="9"/>
  <c r="L156" i="9"/>
  <c r="P156" i="9" s="1"/>
  <c r="L262" i="9"/>
  <c r="P262" i="9" s="1"/>
  <c r="L277" i="9"/>
  <c r="P277" i="9" s="1"/>
  <c r="L305" i="9"/>
  <c r="L159" i="9"/>
  <c r="P159" i="9" s="1"/>
  <c r="P72" i="9"/>
  <c r="P174" i="1"/>
  <c r="P89" i="1"/>
  <c r="N90" i="1"/>
  <c r="P67" i="1"/>
  <c r="P66" i="1"/>
  <c r="D49" i="1"/>
  <c r="D58" i="1"/>
  <c r="D71" i="1"/>
  <c r="E57" i="1"/>
  <c r="P57" i="1" s="1"/>
  <c r="P7" i="9" l="1"/>
  <c r="W229" i="9"/>
  <c r="W284" i="9"/>
  <c r="L558" i="9"/>
  <c r="N563" i="9" s="1"/>
  <c r="W42" i="9"/>
  <c r="W156" i="9"/>
  <c r="W322" i="9"/>
  <c r="W269" i="9"/>
  <c r="W263" i="9"/>
  <c r="W165" i="9"/>
  <c r="W18" i="9"/>
  <c r="W316" i="9"/>
  <c r="W66" i="9"/>
  <c r="W278" i="9"/>
  <c r="I558" i="9"/>
  <c r="W30" i="9"/>
  <c r="W137" i="9"/>
  <c r="P95" i="9"/>
  <c r="W95" i="9" s="1"/>
  <c r="E12" i="9"/>
  <c r="E558" i="9" s="1"/>
  <c r="O311" i="1"/>
  <c r="E559" i="9" l="1"/>
  <c r="P12" i="9"/>
  <c r="W7" i="9" s="1"/>
  <c r="W559" i="9" s="1"/>
  <c r="Q116" i="1"/>
  <c r="Q61" i="1"/>
  <c r="Q50" i="1"/>
  <c r="P558" i="9" l="1"/>
  <c r="U559" i="9" s="1"/>
  <c r="N564" i="9" s="1"/>
  <c r="E560" i="9"/>
  <c r="T283" i="1"/>
  <c r="T293" i="1"/>
  <c r="T294" i="1"/>
  <c r="T278" i="1"/>
  <c r="T273" i="1"/>
  <c r="T300" i="1" l="1"/>
  <c r="T288" i="1"/>
  <c r="T212" i="1"/>
  <c r="T181" i="1"/>
  <c r="T204" i="1"/>
  <c r="T192" i="1"/>
  <c r="T193" i="1"/>
  <c r="T194" i="1"/>
  <c r="T195" i="1"/>
  <c r="T196" i="1"/>
  <c r="T175" i="1"/>
  <c r="T150" i="1"/>
  <c r="Q75" i="1"/>
  <c r="Q85" i="1"/>
  <c r="Q145" i="1"/>
  <c r="E150" i="1"/>
  <c r="Q127" i="1"/>
  <c r="Q96" i="1"/>
  <c r="Q93" i="1"/>
  <c r="Q40" i="1"/>
  <c r="Q27" i="1"/>
  <c r="Q152" i="1"/>
  <c r="Q161" i="1"/>
  <c r="Q17" i="1"/>
  <c r="Q6" i="1"/>
  <c r="Q109" i="1"/>
  <c r="Q168" i="1"/>
  <c r="Q176" i="1"/>
  <c r="Q185" i="1"/>
  <c r="Q190" i="1"/>
  <c r="Q197" i="1"/>
  <c r="Q202" i="1"/>
  <c r="Q205" i="1"/>
  <c r="Q210" i="1"/>
  <c r="Q214" i="1"/>
  <c r="Q219" i="1"/>
  <c r="Q223" i="1"/>
  <c r="Q139" i="1"/>
  <c r="Q228" i="1"/>
  <c r="Q232" i="1"/>
  <c r="Q237" i="1"/>
  <c r="Q241" i="1"/>
  <c r="Q245" i="1"/>
  <c r="E246" i="1"/>
  <c r="G246" i="1" s="1"/>
  <c r="M246" i="1" s="1"/>
  <c r="Q250" i="1"/>
  <c r="Q255" i="1"/>
  <c r="Q260" i="1"/>
  <c r="Q264" i="1"/>
  <c r="Q269" i="1"/>
  <c r="Q275" i="1"/>
  <c r="Q281" i="1"/>
  <c r="Q286" i="1"/>
  <c r="G276" i="1"/>
  <c r="K276" i="1" s="1"/>
  <c r="K246" i="1" l="1"/>
  <c r="H246" i="1"/>
  <c r="J246" i="1"/>
  <c r="M276" i="1"/>
  <c r="H276" i="1"/>
  <c r="N276" i="1" s="1"/>
  <c r="J276" i="1"/>
  <c r="T248" i="1"/>
  <c r="T235" i="1"/>
  <c r="T239" i="1"/>
  <c r="T299" i="1"/>
  <c r="T304" i="1"/>
  <c r="E193" i="1"/>
  <c r="G193" i="1" s="1"/>
  <c r="T298" i="1"/>
  <c r="T272" i="1"/>
  <c r="T266" i="1"/>
  <c r="P276" i="1" l="1"/>
  <c r="V279" i="1" s="1"/>
  <c r="I246" i="1"/>
  <c r="P246" i="1" s="1"/>
  <c r="I276" i="1"/>
  <c r="J193" i="1"/>
  <c r="H193" i="1"/>
  <c r="N193" i="1" s="1"/>
  <c r="K193" i="1"/>
  <c r="G304" i="1"/>
  <c r="Q303" i="1"/>
  <c r="G144" i="1"/>
  <c r="E184" i="1"/>
  <c r="G184" i="1" s="1"/>
  <c r="G25" i="1"/>
  <c r="T253" i="1"/>
  <c r="G252" i="1"/>
  <c r="G208" i="1"/>
  <c r="J208" i="1" s="1"/>
  <c r="G81" i="1"/>
  <c r="G262" i="1"/>
  <c r="G298" i="1"/>
  <c r="K298" i="1" s="1"/>
  <c r="Q297" i="1"/>
  <c r="T287" i="1"/>
  <c r="G143" i="1"/>
  <c r="I193" i="1" l="1"/>
  <c r="P193" i="1" s="1"/>
  <c r="J304" i="1"/>
  <c r="K304" i="1"/>
  <c r="H304" i="1"/>
  <c r="N304" i="1" s="1"/>
  <c r="H144" i="1"/>
  <c r="I144" i="1" s="1"/>
  <c r="J144" i="1"/>
  <c r="N144" i="1"/>
  <c r="K144" i="1"/>
  <c r="K184" i="1"/>
  <c r="H184" i="1"/>
  <c r="N184" i="1" s="1"/>
  <c r="J184" i="1"/>
  <c r="K25" i="1"/>
  <c r="H25" i="1"/>
  <c r="N25" i="1" s="1"/>
  <c r="J25" i="1"/>
  <c r="J252" i="1"/>
  <c r="K252" i="1"/>
  <c r="H252" i="1"/>
  <c r="H208" i="1"/>
  <c r="K208" i="1"/>
  <c r="P208" i="1" s="1"/>
  <c r="J81" i="1"/>
  <c r="K81" i="1"/>
  <c r="H81" i="1"/>
  <c r="I81" i="1" s="1"/>
  <c r="N81" i="1"/>
  <c r="K262" i="1"/>
  <c r="H262" i="1"/>
  <c r="N262" i="1" s="1"/>
  <c r="J262" i="1"/>
  <c r="H298" i="1"/>
  <c r="N298" i="1" s="1"/>
  <c r="J298" i="1"/>
  <c r="J143" i="1"/>
  <c r="H143" i="1"/>
  <c r="I143" i="1" s="1"/>
  <c r="M143" i="1"/>
  <c r="N143" i="1"/>
  <c r="K143" i="1"/>
  <c r="P25" i="1" l="1"/>
  <c r="P144" i="1"/>
  <c r="P304" i="1"/>
  <c r="V307" i="1" s="1"/>
  <c r="P184" i="1"/>
  <c r="I304" i="1"/>
  <c r="I184" i="1"/>
  <c r="I25" i="1"/>
  <c r="I298" i="1"/>
  <c r="P252" i="1"/>
  <c r="P81" i="1"/>
  <c r="P262" i="1"/>
  <c r="N252" i="1"/>
  <c r="I252" i="1"/>
  <c r="I208" i="1"/>
  <c r="N208" i="1"/>
  <c r="I262" i="1"/>
  <c r="P298" i="1"/>
  <c r="V303" i="1" s="1"/>
  <c r="P143" i="1"/>
  <c r="T292" i="1" l="1"/>
  <c r="T282" i="1"/>
  <c r="G257" i="1"/>
  <c r="G80" i="1"/>
  <c r="N80" i="1" s="1"/>
  <c r="G142" i="1"/>
  <c r="N142" i="1" s="1"/>
  <c r="G292" i="1"/>
  <c r="M292" i="1" s="1"/>
  <c r="Q291" i="1"/>
  <c r="T257" i="1"/>
  <c r="T256" i="1"/>
  <c r="G256" i="1"/>
  <c r="J256" i="1" s="1"/>
  <c r="G266" i="1"/>
  <c r="G282" i="1"/>
  <c r="G239" i="1"/>
  <c r="N239" i="1" s="1"/>
  <c r="G207" i="1"/>
  <c r="E183" i="1"/>
  <c r="G183" i="1" s="1"/>
  <c r="J80" i="1" l="1"/>
  <c r="K142" i="1"/>
  <c r="K80" i="1"/>
  <c r="M80" i="1"/>
  <c r="J142" i="1"/>
  <c r="M142" i="1"/>
  <c r="K257" i="1"/>
  <c r="H257" i="1"/>
  <c r="N257" i="1" s="1"/>
  <c r="M257" i="1"/>
  <c r="J257" i="1"/>
  <c r="H80" i="1"/>
  <c r="I80" i="1" s="1"/>
  <c r="H142" i="1"/>
  <c r="I142" i="1" s="1"/>
  <c r="H292" i="1"/>
  <c r="N292" i="1" s="1"/>
  <c r="K292" i="1"/>
  <c r="J292" i="1"/>
  <c r="H256" i="1"/>
  <c r="N256" i="1" s="1"/>
  <c r="M256" i="1"/>
  <c r="K256" i="1"/>
  <c r="K266" i="1"/>
  <c r="H266" i="1"/>
  <c r="N266" i="1" s="1"/>
  <c r="M266" i="1"/>
  <c r="J266" i="1"/>
  <c r="K282" i="1"/>
  <c r="H282" i="1"/>
  <c r="N282" i="1" s="1"/>
  <c r="M282" i="1"/>
  <c r="J282" i="1"/>
  <c r="J239" i="1"/>
  <c r="K239" i="1"/>
  <c r="M239" i="1"/>
  <c r="H239" i="1"/>
  <c r="I239" i="1" s="1"/>
  <c r="K207" i="1"/>
  <c r="J207" i="1"/>
  <c r="H207" i="1"/>
  <c r="N207" i="1" s="1"/>
  <c r="M207" i="1"/>
  <c r="K183" i="1"/>
  <c r="H183" i="1"/>
  <c r="N183" i="1" s="1"/>
  <c r="M183" i="1"/>
  <c r="J183" i="1"/>
  <c r="P292" i="1" l="1"/>
  <c r="V297" i="1" s="1"/>
  <c r="P80" i="1"/>
  <c r="P142" i="1"/>
  <c r="I292" i="1"/>
  <c r="P257" i="1"/>
  <c r="I257" i="1"/>
  <c r="P256" i="1"/>
  <c r="I282" i="1"/>
  <c r="I256" i="1"/>
  <c r="P266" i="1"/>
  <c r="I266" i="1"/>
  <c r="P282" i="1"/>
  <c r="V286" i="1" s="1"/>
  <c r="P239" i="1"/>
  <c r="P183" i="1"/>
  <c r="P207" i="1"/>
  <c r="I207" i="1"/>
  <c r="I183" i="1"/>
  <c r="V257" i="1" l="1"/>
  <c r="G287" i="1"/>
  <c r="K287" i="1" s="1"/>
  <c r="H287" i="1" l="1"/>
  <c r="I287" i="1" s="1"/>
  <c r="J287" i="1"/>
  <c r="M287" i="1"/>
  <c r="T262" i="1"/>
  <c r="T252" i="1"/>
  <c r="T271" i="1"/>
  <c r="T33" i="1"/>
  <c r="T46" i="1"/>
  <c r="T102" i="1"/>
  <c r="T80" i="1"/>
  <c r="T25" i="1"/>
  <c r="G172" i="1"/>
  <c r="J172" i="1" s="1"/>
  <c r="N287" i="1" l="1"/>
  <c r="P287" i="1"/>
  <c r="V291" i="1" s="1"/>
  <c r="K172" i="1"/>
  <c r="M172" i="1"/>
  <c r="H172" i="1"/>
  <c r="N172" i="1" s="1"/>
  <c r="I172" i="1" l="1"/>
  <c r="P172" i="1" s="1"/>
  <c r="G22" i="1" l="1"/>
  <c r="J22" i="1" s="1"/>
  <c r="T265" i="1"/>
  <c r="T261" i="1"/>
  <c r="T234" i="1"/>
  <c r="T247" i="1"/>
  <c r="T242" i="1"/>
  <c r="V243" i="1" s="1"/>
  <c r="T238" i="1"/>
  <c r="V239" i="1" s="1"/>
  <c r="E48" i="1"/>
  <c r="P48" i="1" s="1"/>
  <c r="M48" i="1"/>
  <c r="L48" i="1"/>
  <c r="K48" i="1"/>
  <c r="J48" i="1"/>
  <c r="H48" i="1"/>
  <c r="N48" i="1" s="1"/>
  <c r="T21" i="1"/>
  <c r="T22" i="1"/>
  <c r="T23" i="1"/>
  <c r="T24" i="1"/>
  <c r="E24" i="1"/>
  <c r="P24" i="1" s="1"/>
  <c r="D23" i="1"/>
  <c r="D24" i="1"/>
  <c r="P46" i="1"/>
  <c r="P45" i="1"/>
  <c r="P54" i="1"/>
  <c r="D104" i="1"/>
  <c r="D103" i="1"/>
  <c r="T100" i="1"/>
  <c r="T101" i="1"/>
  <c r="D113" i="1"/>
  <c r="D122" i="1"/>
  <c r="N163" i="1"/>
  <c r="N147" i="1"/>
  <c r="P150" i="1" s="1"/>
  <c r="N77" i="1"/>
  <c r="E234" i="1"/>
  <c r="P234" i="1" s="1"/>
  <c r="E247" i="1"/>
  <c r="P247" i="1" s="1"/>
  <c r="E158" i="1"/>
  <c r="P158" i="1" s="1"/>
  <c r="P130" i="1"/>
  <c r="T225" i="1"/>
  <c r="T246" i="1"/>
  <c r="T270" i="1"/>
  <c r="T233" i="1"/>
  <c r="T251" i="1"/>
  <c r="G251" i="1"/>
  <c r="T140" i="1"/>
  <c r="T206" i="1"/>
  <c r="T94" i="1"/>
  <c r="T221" i="1"/>
  <c r="T220" i="1"/>
  <c r="T215" i="1"/>
  <c r="T211" i="1"/>
  <c r="T224" i="1"/>
  <c r="T203" i="1"/>
  <c r="T198" i="1"/>
  <c r="T187" i="1"/>
  <c r="T188" i="1"/>
  <c r="T186" i="1"/>
  <c r="T191" i="1"/>
  <c r="T170" i="1"/>
  <c r="T171" i="1"/>
  <c r="T172" i="1"/>
  <c r="T173" i="1"/>
  <c r="T174" i="1"/>
  <c r="T169" i="1"/>
  <c r="T178" i="1"/>
  <c r="T179" i="1"/>
  <c r="T180" i="1"/>
  <c r="T177" i="1"/>
  <c r="T129" i="1"/>
  <c r="T130" i="1"/>
  <c r="T128" i="1"/>
  <c r="T155" i="1"/>
  <c r="T156" i="1"/>
  <c r="T157" i="1"/>
  <c r="T158" i="1"/>
  <c r="T159" i="1"/>
  <c r="T154" i="1"/>
  <c r="T153" i="1"/>
  <c r="T147" i="1"/>
  <c r="T148" i="1"/>
  <c r="T149" i="1"/>
  <c r="T146" i="1"/>
  <c r="T77" i="1"/>
  <c r="T78" i="1"/>
  <c r="T79" i="1"/>
  <c r="T76" i="1"/>
  <c r="T162" i="1"/>
  <c r="T120" i="1"/>
  <c r="T121" i="1"/>
  <c r="T119" i="1"/>
  <c r="T112" i="1"/>
  <c r="T113" i="1"/>
  <c r="T114" i="1"/>
  <c r="T115" i="1"/>
  <c r="T111" i="1"/>
  <c r="T99" i="1"/>
  <c r="T97" i="1"/>
  <c r="T90" i="1"/>
  <c r="T91" i="1"/>
  <c r="T89" i="1"/>
  <c r="T87" i="1"/>
  <c r="T86" i="1"/>
  <c r="T66" i="1"/>
  <c r="T67" i="1"/>
  <c r="T68" i="1"/>
  <c r="T65" i="1"/>
  <c r="T62" i="1"/>
  <c r="T52" i="1"/>
  <c r="T53" i="1"/>
  <c r="T51" i="1"/>
  <c r="T42" i="1"/>
  <c r="T43" i="1"/>
  <c r="T44" i="1"/>
  <c r="T45" i="1"/>
  <c r="T41" i="1"/>
  <c r="T29" i="1"/>
  <c r="T30" i="1"/>
  <c r="T31" i="1"/>
  <c r="T32" i="1"/>
  <c r="T28" i="1"/>
  <c r="T18" i="1"/>
  <c r="T19" i="1"/>
  <c r="T20" i="1"/>
  <c r="V236" i="1" l="1"/>
  <c r="K22" i="1"/>
  <c r="H22" i="1"/>
  <c r="M22" i="1"/>
  <c r="I48" i="1"/>
  <c r="K251" i="1"/>
  <c r="H251" i="1"/>
  <c r="N251" i="1" s="1"/>
  <c r="M251" i="1"/>
  <c r="J251" i="1"/>
  <c r="P22" i="1" l="1"/>
  <c r="N22" i="1"/>
  <c r="I22" i="1"/>
  <c r="I251" i="1"/>
  <c r="P251" i="1"/>
  <c r="V253" i="1" s="1"/>
  <c r="G270" i="1"/>
  <c r="K270" i="1" l="1"/>
  <c r="M270" i="1"/>
  <c r="H270" i="1"/>
  <c r="N270" i="1" s="1"/>
  <c r="J270" i="1"/>
  <c r="P270" i="1" l="1"/>
  <c r="V271" i="1" s="1"/>
  <c r="I270" i="1"/>
  <c r="G265" i="1"/>
  <c r="G261" i="1"/>
  <c r="K261" i="1" s="1"/>
  <c r="G133" i="1"/>
  <c r="M261" i="1" l="1"/>
  <c r="J261" i="1"/>
  <c r="H261" i="1"/>
  <c r="K265" i="1"/>
  <c r="M265" i="1"/>
  <c r="H265" i="1"/>
  <c r="N265" i="1" s="1"/>
  <c r="J265" i="1"/>
  <c r="K133" i="1"/>
  <c r="H133" i="1"/>
  <c r="N133" i="1" s="1"/>
  <c r="J133" i="1"/>
  <c r="M133" i="1"/>
  <c r="L133" i="1"/>
  <c r="P261" i="1" l="1"/>
  <c r="V262" i="1" s="1"/>
  <c r="P265" i="1"/>
  <c r="V266" i="1" s="1"/>
  <c r="I261" i="1"/>
  <c r="N261" i="1"/>
  <c r="I265" i="1"/>
  <c r="I133" i="1"/>
  <c r="P133" i="1" s="1"/>
  <c r="G21" i="1" l="1"/>
  <c r="J21" i="1" s="1"/>
  <c r="H233" i="1"/>
  <c r="I233" i="1" s="1"/>
  <c r="G141" i="1"/>
  <c r="G79" i="1"/>
  <c r="N79" i="1" s="1"/>
  <c r="G242" i="1"/>
  <c r="G164" i="1"/>
  <c r="N164" i="1" s="1"/>
  <c r="G238" i="1"/>
  <c r="H238" i="1" s="1"/>
  <c r="G199" i="1"/>
  <c r="M199" i="1" s="1"/>
  <c r="G225" i="1"/>
  <c r="T229" i="1"/>
  <c r="T311" i="1" s="1"/>
  <c r="H21" i="1" l="1"/>
  <c r="N21" i="1" s="1"/>
  <c r="K21" i="1"/>
  <c r="M21" i="1"/>
  <c r="H164" i="1"/>
  <c r="I164" i="1" s="1"/>
  <c r="N141" i="1"/>
  <c r="H79" i="1"/>
  <c r="I79" i="1" s="1"/>
  <c r="H141" i="1"/>
  <c r="I141" i="1" s="1"/>
  <c r="K233" i="1"/>
  <c r="M233" i="1"/>
  <c r="J233" i="1"/>
  <c r="I238" i="1"/>
  <c r="N238" i="1"/>
  <c r="N242" i="1"/>
  <c r="H242" i="1"/>
  <c r="I242" i="1" s="1"/>
  <c r="M248" i="1"/>
  <c r="N248" i="1"/>
  <c r="K199" i="1"/>
  <c r="J199" i="1"/>
  <c r="H199" i="1"/>
  <c r="M225" i="1"/>
  <c r="L225" i="1"/>
  <c r="K225" i="1"/>
  <c r="J225" i="1"/>
  <c r="H225" i="1"/>
  <c r="N225" i="1" s="1"/>
  <c r="E56" i="1"/>
  <c r="G56" i="1" s="1"/>
  <c r="N199" i="1" l="1"/>
  <c r="P21" i="1"/>
  <c r="I21" i="1"/>
  <c r="K141" i="1"/>
  <c r="M141" i="1"/>
  <c r="J141" i="1"/>
  <c r="M242" i="1"/>
  <c r="J242" i="1"/>
  <c r="K242" i="1"/>
  <c r="K79" i="1"/>
  <c r="J79" i="1"/>
  <c r="K164" i="1"/>
  <c r="M164" i="1"/>
  <c r="J164" i="1"/>
  <c r="M238" i="1"/>
  <c r="J238" i="1"/>
  <c r="K238" i="1"/>
  <c r="I199" i="1"/>
  <c r="I225" i="1"/>
  <c r="P225" i="1" s="1"/>
  <c r="K56" i="1"/>
  <c r="J56" i="1"/>
  <c r="L56" i="1"/>
  <c r="M56" i="1"/>
  <c r="H56" i="1"/>
  <c r="N56" i="1" s="1"/>
  <c r="P199" i="1" l="1"/>
  <c r="I56" i="1"/>
  <c r="P56" i="1" s="1"/>
  <c r="E229" i="1" l="1"/>
  <c r="G229" i="1" s="1"/>
  <c r="H229" i="1" l="1"/>
  <c r="N229" i="1" s="1"/>
  <c r="M229" i="1"/>
  <c r="J229" i="1"/>
  <c r="K229" i="1"/>
  <c r="E140" i="1"/>
  <c r="G140" i="1" s="1"/>
  <c r="H140" i="1" s="1"/>
  <c r="N140" i="1" s="1"/>
  <c r="P229" i="1" l="1"/>
  <c r="V231" i="1" s="1"/>
  <c r="I229" i="1"/>
  <c r="I140" i="1"/>
  <c r="M140" i="1"/>
  <c r="J140" i="1"/>
  <c r="K140" i="1"/>
  <c r="P140" i="1" l="1"/>
  <c r="V144" i="1" s="1"/>
  <c r="E216" i="1"/>
  <c r="G216" i="1" s="1"/>
  <c r="H216" i="1" l="1"/>
  <c r="I216" i="1" s="1"/>
  <c r="J216" i="1"/>
  <c r="M216" i="1"/>
  <c r="K216" i="1"/>
  <c r="N216" i="1" l="1"/>
  <c r="E206" i="1" l="1"/>
  <c r="G206" i="1" s="1"/>
  <c r="M206" i="1" l="1"/>
  <c r="K206" i="1"/>
  <c r="J206" i="1"/>
  <c r="H206" i="1"/>
  <c r="N206" i="1" s="1"/>
  <c r="E94" i="1"/>
  <c r="G94" i="1" s="1"/>
  <c r="M94" i="1" s="1"/>
  <c r="P206" i="1" l="1"/>
  <c r="V209" i="1" s="1"/>
  <c r="J94" i="1"/>
  <c r="K94" i="1"/>
  <c r="I206" i="1"/>
  <c r="H94" i="1"/>
  <c r="N94" i="1" s="1"/>
  <c r="I94" i="1" l="1"/>
  <c r="E220" i="1"/>
  <c r="G220" i="1" s="1"/>
  <c r="M220" i="1" l="1"/>
  <c r="K220" i="1"/>
  <c r="J220" i="1"/>
  <c r="H220" i="1"/>
  <c r="N220" i="1" s="1"/>
  <c r="I220" i="1" l="1"/>
  <c r="E215" i="1"/>
  <c r="G215" i="1" s="1"/>
  <c r="K215" i="1" s="1"/>
  <c r="M215" i="1" l="1"/>
  <c r="J215" i="1"/>
  <c r="H215" i="1"/>
  <c r="N215" i="1" s="1"/>
  <c r="I215" i="1" l="1"/>
  <c r="E211" i="1" l="1"/>
  <c r="G211" i="1" s="1"/>
  <c r="M211" i="1" s="1"/>
  <c r="K211" i="1" l="1"/>
  <c r="J211" i="1"/>
  <c r="H211" i="1"/>
  <c r="N211" i="1" s="1"/>
  <c r="I211" i="1" l="1"/>
  <c r="E224" i="1" l="1"/>
  <c r="G224" i="1" s="1"/>
  <c r="J224" i="1" l="1"/>
  <c r="L224" i="1"/>
  <c r="M224" i="1"/>
  <c r="K224" i="1"/>
  <c r="H224" i="1"/>
  <c r="N224" i="1" s="1"/>
  <c r="E132" i="1"/>
  <c r="G132" i="1" s="1"/>
  <c r="I224" i="1" l="1"/>
  <c r="P224" i="1" s="1"/>
  <c r="V227" i="1" s="1"/>
  <c r="K132" i="1"/>
  <c r="J132" i="1"/>
  <c r="M132" i="1"/>
  <c r="L132" i="1"/>
  <c r="H132" i="1"/>
  <c r="N132" i="1" s="1"/>
  <c r="I132" i="1" l="1"/>
  <c r="P132" i="1" s="1"/>
  <c r="E70" i="1"/>
  <c r="G70" i="1" s="1"/>
  <c r="K70" i="1" l="1"/>
  <c r="M70" i="1"/>
  <c r="L70" i="1"/>
  <c r="H70" i="1"/>
  <c r="N70" i="1" s="1"/>
  <c r="J70" i="1"/>
  <c r="E192" i="1"/>
  <c r="G192" i="1" s="1"/>
  <c r="J192" i="1" s="1"/>
  <c r="I70" i="1" l="1"/>
  <c r="P70" i="1" s="1"/>
  <c r="K192" i="1"/>
  <c r="H192" i="1"/>
  <c r="N192" i="1" s="1"/>
  <c r="M192" i="1"/>
  <c r="I192" i="1" l="1"/>
  <c r="P192" i="1" s="1"/>
  <c r="G102" i="1" l="1"/>
  <c r="H102" i="1" s="1"/>
  <c r="N102" i="1" s="1"/>
  <c r="G11" i="1"/>
  <c r="H11" i="1" s="1"/>
  <c r="G131" i="1"/>
  <c r="J131" i="1" s="1"/>
  <c r="K11" i="1" l="1"/>
  <c r="K131" i="1"/>
  <c r="J11" i="1"/>
  <c r="J102" i="1"/>
  <c r="H131" i="1"/>
  <c r="N131" i="1" s="1"/>
  <c r="M131" i="1"/>
  <c r="M11" i="1"/>
  <c r="K102" i="1"/>
  <c r="N11" i="1"/>
  <c r="I11" i="1"/>
  <c r="L11" i="1"/>
  <c r="M102" i="1"/>
  <c r="I102" i="1"/>
  <c r="L102" i="1"/>
  <c r="E180" i="1"/>
  <c r="G180" i="1" s="1"/>
  <c r="P131" i="1" l="1"/>
  <c r="I131" i="1"/>
  <c r="P11" i="1"/>
  <c r="P102" i="1"/>
  <c r="J180" i="1"/>
  <c r="K180" i="1"/>
  <c r="M180" i="1"/>
  <c r="H180" i="1"/>
  <c r="N180" i="1" s="1"/>
  <c r="E156" i="1"/>
  <c r="G156" i="1" s="1"/>
  <c r="K156" i="1" l="1"/>
  <c r="J156" i="1"/>
  <c r="P180" i="1"/>
  <c r="I180" i="1"/>
  <c r="H156" i="1"/>
  <c r="N156" i="1" s="1"/>
  <c r="M156" i="1"/>
  <c r="G187" i="1"/>
  <c r="J187" i="1" s="1"/>
  <c r="H187" i="1" l="1"/>
  <c r="N187" i="1" s="1"/>
  <c r="M187" i="1"/>
  <c r="K187" i="1"/>
  <c r="I156" i="1"/>
  <c r="P156" i="1" s="1"/>
  <c r="E101" i="1"/>
  <c r="G101" i="1" s="1"/>
  <c r="G100" i="1"/>
  <c r="M100" i="1" s="1"/>
  <c r="S311" i="1"/>
  <c r="I187" i="1" l="1"/>
  <c r="P187" i="1" s="1"/>
  <c r="K101" i="1"/>
  <c r="M101" i="1"/>
  <c r="J101" i="1"/>
  <c r="L101" i="1"/>
  <c r="H101" i="1"/>
  <c r="N101" i="1" s="1"/>
  <c r="J100" i="1"/>
  <c r="K100" i="1"/>
  <c r="H100" i="1"/>
  <c r="N100" i="1" s="1"/>
  <c r="L100" i="1"/>
  <c r="I100" i="1" l="1"/>
  <c r="P100" i="1" s="1"/>
  <c r="I101" i="1"/>
  <c r="P101" i="1" s="1"/>
  <c r="E68" i="1" l="1"/>
  <c r="G68" i="1" s="1"/>
  <c r="E69" i="1"/>
  <c r="G69" i="1" s="1"/>
  <c r="H69" i="1" s="1"/>
  <c r="N69" i="1" l="1"/>
  <c r="J68" i="1"/>
  <c r="M68" i="1"/>
  <c r="K68" i="1"/>
  <c r="L68" i="1"/>
  <c r="H68" i="1"/>
  <c r="K69" i="1"/>
  <c r="J69" i="1"/>
  <c r="M69" i="1"/>
  <c r="I69" i="1"/>
  <c r="L69" i="1"/>
  <c r="E203" i="1"/>
  <c r="G203" i="1" s="1"/>
  <c r="E198" i="1"/>
  <c r="G198" i="1" s="1"/>
  <c r="K198" i="1" l="1"/>
  <c r="M198" i="1"/>
  <c r="N68" i="1"/>
  <c r="E71" i="1" s="1"/>
  <c r="P71" i="1" s="1"/>
  <c r="P69" i="1"/>
  <c r="I68" i="1"/>
  <c r="K203" i="1"/>
  <c r="J203" i="1"/>
  <c r="M203" i="1"/>
  <c r="H203" i="1"/>
  <c r="N203" i="1" s="1"/>
  <c r="J198" i="1"/>
  <c r="H198" i="1"/>
  <c r="P68" i="1" l="1"/>
  <c r="N198" i="1"/>
  <c r="I203" i="1"/>
  <c r="P203" i="1" s="1"/>
  <c r="V204" i="1" s="1"/>
  <c r="I198" i="1"/>
  <c r="P198" i="1" l="1"/>
  <c r="V201" i="1" s="1"/>
  <c r="G78" i="1"/>
  <c r="K78" i="1" l="1"/>
  <c r="N78" i="1"/>
  <c r="J78" i="1"/>
  <c r="H78" i="1"/>
  <c r="L78" i="1"/>
  <c r="I78" i="1" l="1"/>
  <c r="P78" i="1" s="1"/>
  <c r="G171" i="1"/>
  <c r="J171" i="1" s="1"/>
  <c r="K171" i="1" l="1"/>
  <c r="H171" i="1"/>
  <c r="N171" i="1" s="1"/>
  <c r="E173" i="1" s="1"/>
  <c r="P173" i="1" s="1"/>
  <c r="M171" i="1"/>
  <c r="E186" i="1"/>
  <c r="G186" i="1" s="1"/>
  <c r="I171" i="1" l="1"/>
  <c r="P171" i="1" s="1"/>
  <c r="K186" i="1"/>
  <c r="M186" i="1"/>
  <c r="J186" i="1"/>
  <c r="H186" i="1"/>
  <c r="N186" i="1" s="1"/>
  <c r="I186" i="1" l="1"/>
  <c r="P186" i="1" s="1"/>
  <c r="V189" i="1" s="1"/>
  <c r="E191" i="1"/>
  <c r="G191" i="1" s="1"/>
  <c r="J191" i="1" s="1"/>
  <c r="K191" i="1" l="1"/>
  <c r="M191" i="1"/>
  <c r="H191" i="1"/>
  <c r="N191" i="1" s="1"/>
  <c r="G10" i="1"/>
  <c r="K10" i="1" s="1"/>
  <c r="I191" i="1" l="1"/>
  <c r="P191" i="1" s="1"/>
  <c r="V196" i="1" s="1"/>
  <c r="J10" i="1"/>
  <c r="H10" i="1"/>
  <c r="N10" i="1" s="1"/>
  <c r="L10" i="1"/>
  <c r="M10" i="1"/>
  <c r="I10" i="1" l="1"/>
  <c r="P10" i="1" s="1"/>
  <c r="G121" i="1" l="1"/>
  <c r="K121" i="1" s="1"/>
  <c r="H121" i="1" l="1"/>
  <c r="N121" i="1" s="1"/>
  <c r="L121" i="1"/>
  <c r="M121" i="1"/>
  <c r="J121" i="1"/>
  <c r="I121" i="1" l="1"/>
  <c r="P121" i="1" s="1"/>
  <c r="G55" i="1" l="1"/>
  <c r="M55" i="1" s="1"/>
  <c r="H55" i="1" l="1"/>
  <c r="N55" i="1" s="1"/>
  <c r="E58" i="1" s="1"/>
  <c r="P58" i="1" s="1"/>
  <c r="J55" i="1"/>
  <c r="K55" i="1"/>
  <c r="L55" i="1"/>
  <c r="I55" i="1" l="1"/>
  <c r="P55" i="1" s="1"/>
  <c r="G148" i="1" l="1"/>
  <c r="K148" i="1" s="1"/>
  <c r="H148" i="1" l="1"/>
  <c r="N148" i="1" s="1"/>
  <c r="L148" i="1"/>
  <c r="J148" i="1"/>
  <c r="G47" i="1"/>
  <c r="K47" i="1" s="1"/>
  <c r="I148" i="1" l="1"/>
  <c r="P148" i="1" s="1"/>
  <c r="J47" i="1"/>
  <c r="L47" i="1"/>
  <c r="M47" i="1"/>
  <c r="H47" i="1"/>
  <c r="N47" i="1" s="1"/>
  <c r="E49" i="1" s="1"/>
  <c r="P49" i="1" s="1"/>
  <c r="M46" i="1"/>
  <c r="L46" i="1"/>
  <c r="K46" i="1"/>
  <c r="J46" i="1"/>
  <c r="H46" i="1"/>
  <c r="N46" i="1" s="1"/>
  <c r="M45" i="1"/>
  <c r="L45" i="1"/>
  <c r="K45" i="1"/>
  <c r="J45" i="1"/>
  <c r="H45" i="1"/>
  <c r="I45" i="1" s="1"/>
  <c r="I47" i="1" l="1"/>
  <c r="P47" i="1" s="1"/>
  <c r="N45" i="1"/>
  <c r="I46" i="1"/>
  <c r="G120" i="1" l="1"/>
  <c r="M120" i="1" s="1"/>
  <c r="K120" i="1" l="1"/>
  <c r="H120" i="1"/>
  <c r="N120" i="1" s="1"/>
  <c r="J120" i="1"/>
  <c r="L120" i="1"/>
  <c r="G88" i="1"/>
  <c r="K88" i="1" s="1"/>
  <c r="I120" i="1" l="1"/>
  <c r="P120" i="1" s="1"/>
  <c r="L88" i="1"/>
  <c r="M88" i="1"/>
  <c r="H88" i="1"/>
  <c r="N88" i="1" s="1"/>
  <c r="E90" i="1" s="1"/>
  <c r="P90" i="1" s="1"/>
  <c r="J88" i="1"/>
  <c r="G178" i="1"/>
  <c r="H178" i="1" s="1"/>
  <c r="I88" i="1" l="1"/>
  <c r="P88" i="1" s="1"/>
  <c r="I178" i="1"/>
  <c r="N178" i="1"/>
  <c r="E182" i="1" s="1"/>
  <c r="P182" i="1" s="1"/>
  <c r="M178" i="1"/>
  <c r="K178" i="1"/>
  <c r="J178" i="1"/>
  <c r="G98" i="1"/>
  <c r="L98" i="1" s="1"/>
  <c r="P178" i="1" l="1"/>
  <c r="J98" i="1"/>
  <c r="M98" i="1"/>
  <c r="K98" i="1"/>
  <c r="H98" i="1"/>
  <c r="E169" i="1"/>
  <c r="G169" i="1" s="1"/>
  <c r="K169" i="1" l="1"/>
  <c r="J169" i="1"/>
  <c r="N98" i="1"/>
  <c r="E104" i="1" s="1"/>
  <c r="P104" i="1" s="1"/>
  <c r="I98" i="1"/>
  <c r="H169" i="1"/>
  <c r="N169" i="1" s="1"/>
  <c r="M169" i="1"/>
  <c r="E177" i="1"/>
  <c r="G177" i="1" s="1"/>
  <c r="M177" i="1" s="1"/>
  <c r="P98" i="1" l="1"/>
  <c r="I169" i="1"/>
  <c r="P169" i="1" s="1"/>
  <c r="V174" i="1" s="1"/>
  <c r="J177" i="1"/>
  <c r="K177" i="1"/>
  <c r="H177" i="1"/>
  <c r="N177" i="1" s="1"/>
  <c r="E181" i="1" s="1"/>
  <c r="P181" i="1" s="1"/>
  <c r="E119" i="1"/>
  <c r="G119" i="1" s="1"/>
  <c r="E118" i="1"/>
  <c r="G118" i="1" s="1"/>
  <c r="I177" i="1" l="1"/>
  <c r="P177" i="1" s="1"/>
  <c r="V184" i="1" s="1"/>
  <c r="M118" i="1"/>
  <c r="L118" i="1"/>
  <c r="H118" i="1"/>
  <c r="N118" i="1" s="1"/>
  <c r="K118" i="1"/>
  <c r="J118" i="1"/>
  <c r="K119" i="1"/>
  <c r="J119" i="1"/>
  <c r="M119" i="1"/>
  <c r="L119" i="1"/>
  <c r="H119" i="1"/>
  <c r="N119" i="1" s="1"/>
  <c r="E123" i="1" s="1"/>
  <c r="P123" i="1" s="1"/>
  <c r="E128" i="1"/>
  <c r="G128" i="1" s="1"/>
  <c r="I119" i="1" l="1"/>
  <c r="P119" i="1" s="1"/>
  <c r="I118" i="1"/>
  <c r="P118" i="1" s="1"/>
  <c r="M128" i="1"/>
  <c r="L128" i="1"/>
  <c r="K128" i="1"/>
  <c r="J128" i="1"/>
  <c r="H128" i="1"/>
  <c r="N128" i="1" s="1"/>
  <c r="I128" i="1" l="1"/>
  <c r="P128" i="1" s="1"/>
  <c r="V138" i="1" s="1"/>
  <c r="G31" i="1" l="1"/>
  <c r="K31" i="1" s="1"/>
  <c r="J31" i="1" l="1"/>
  <c r="H31" i="1"/>
  <c r="N31" i="1" s="1"/>
  <c r="M31" i="1"/>
  <c r="L31" i="1"/>
  <c r="I31" i="1" l="1"/>
  <c r="P31" i="1" s="1"/>
  <c r="F153" i="1" l="1"/>
  <c r="G153" i="1" s="1"/>
  <c r="M153" i="1" s="1"/>
  <c r="K153" i="1" l="1"/>
  <c r="J153" i="1"/>
  <c r="H153" i="1"/>
  <c r="N153" i="1" s="1"/>
  <c r="E157" i="1" s="1"/>
  <c r="P157" i="1" s="1"/>
  <c r="I153" i="1" l="1"/>
  <c r="P153" i="1" s="1"/>
  <c r="V160" i="1" s="1"/>
  <c r="G146" i="1" l="1"/>
  <c r="H146" i="1" s="1"/>
  <c r="N146" i="1" l="1"/>
  <c r="E149" i="1"/>
  <c r="J146" i="1"/>
  <c r="L146" i="1"/>
  <c r="I146" i="1"/>
  <c r="K146" i="1"/>
  <c r="E76" i="1"/>
  <c r="G76" i="1" s="1"/>
  <c r="K76" i="1" l="1"/>
  <c r="N76" i="1"/>
  <c r="P146" i="1"/>
  <c r="V151" i="1" s="1"/>
  <c r="J76" i="1"/>
  <c r="L76" i="1"/>
  <c r="H76" i="1"/>
  <c r="I76" i="1" l="1"/>
  <c r="P76" i="1" s="1"/>
  <c r="V84" i="1" s="1"/>
  <c r="G162" i="1" l="1"/>
  <c r="K162" i="1" l="1"/>
  <c r="N162" i="1"/>
  <c r="J162" i="1"/>
  <c r="H162" i="1"/>
  <c r="L162" i="1"/>
  <c r="I162" i="1" l="1"/>
  <c r="P162" i="1" s="1"/>
  <c r="V167" i="1" s="1"/>
  <c r="G32" i="1" l="1"/>
  <c r="K32" i="1" s="1"/>
  <c r="J32" i="1" l="1"/>
  <c r="H32" i="1"/>
  <c r="N32" i="1" s="1"/>
  <c r="M32" i="1"/>
  <c r="E117" i="1"/>
  <c r="G117" i="1" s="1"/>
  <c r="I32" i="1" l="1"/>
  <c r="P32" i="1" s="1"/>
  <c r="M117" i="1"/>
  <c r="K117" i="1"/>
  <c r="L117" i="1"/>
  <c r="J117" i="1"/>
  <c r="H117" i="1"/>
  <c r="N117" i="1" s="1"/>
  <c r="E122" i="1" s="1"/>
  <c r="P122" i="1" s="1"/>
  <c r="I117" i="1" l="1"/>
  <c r="P117" i="1" s="1"/>
  <c r="V126" i="1" s="1"/>
  <c r="E110" i="1" l="1"/>
  <c r="G110" i="1" s="1"/>
  <c r="M110" i="1" l="1"/>
  <c r="K110" i="1"/>
  <c r="L110" i="1"/>
  <c r="J110" i="1"/>
  <c r="H110" i="1"/>
  <c r="N110" i="1" s="1"/>
  <c r="E113" i="1" s="1"/>
  <c r="P113" i="1" s="1"/>
  <c r="I110" i="1" l="1"/>
  <c r="P110" i="1" s="1"/>
  <c r="V115" i="1" s="1"/>
  <c r="E97" i="1" l="1"/>
  <c r="G97" i="1" s="1"/>
  <c r="L97" i="1" l="1"/>
  <c r="J97" i="1"/>
  <c r="H97" i="1"/>
  <c r="N97" i="1" s="1"/>
  <c r="E103" i="1" s="1"/>
  <c r="P103" i="1" s="1"/>
  <c r="M97" i="1"/>
  <c r="K97" i="1"/>
  <c r="I97" i="1" l="1"/>
  <c r="P97" i="1" s="1"/>
  <c r="V108" i="1" s="1"/>
  <c r="E86" i="1"/>
  <c r="G86" i="1" s="1"/>
  <c r="M86" i="1" l="1"/>
  <c r="K86" i="1"/>
  <c r="L86" i="1"/>
  <c r="J86" i="1"/>
  <c r="H86" i="1"/>
  <c r="N86" i="1" s="1"/>
  <c r="E87" i="1"/>
  <c r="G87" i="1" s="1"/>
  <c r="I86" i="1" l="1"/>
  <c r="P86" i="1" s="1"/>
  <c r="M87" i="1"/>
  <c r="K87" i="1"/>
  <c r="L87" i="1"/>
  <c r="J87" i="1"/>
  <c r="H87" i="1"/>
  <c r="N87" i="1" s="1"/>
  <c r="I87" i="1" l="1"/>
  <c r="P87" i="1" s="1"/>
  <c r="V92" i="1" s="1"/>
  <c r="E64" i="1"/>
  <c r="G64" i="1" s="1"/>
  <c r="E62" i="1"/>
  <c r="G62" i="1" s="1"/>
  <c r="M62" i="1" l="1"/>
  <c r="K62" i="1"/>
  <c r="L62" i="1"/>
  <c r="J62" i="1"/>
  <c r="H62" i="1"/>
  <c r="M64" i="1"/>
  <c r="K64" i="1"/>
  <c r="L64" i="1"/>
  <c r="J64" i="1"/>
  <c r="H64" i="1"/>
  <c r="N64" i="1" s="1"/>
  <c r="E63" i="1"/>
  <c r="G63" i="1" s="1"/>
  <c r="N62" i="1" l="1"/>
  <c r="M63" i="1"/>
  <c r="K63" i="1"/>
  <c r="L63" i="1"/>
  <c r="J63" i="1"/>
  <c r="H63" i="1"/>
  <c r="N63" i="1" s="1"/>
  <c r="I64" i="1"/>
  <c r="P64" i="1" s="1"/>
  <c r="I62" i="1"/>
  <c r="P62" i="1" s="1"/>
  <c r="I63" i="1" l="1"/>
  <c r="P63" i="1" s="1"/>
  <c r="V74" i="1" s="1"/>
  <c r="G52" i="1" l="1"/>
  <c r="M52" i="1" s="1"/>
  <c r="E51" i="1"/>
  <c r="G51" i="1" s="1"/>
  <c r="L51" i="1" s="1"/>
  <c r="J52" i="1" l="1"/>
  <c r="L52" i="1"/>
  <c r="H52" i="1"/>
  <c r="N52" i="1" s="1"/>
  <c r="K51" i="1"/>
  <c r="M51" i="1"/>
  <c r="H51" i="1"/>
  <c r="N51" i="1" s="1"/>
  <c r="J51" i="1"/>
  <c r="K52" i="1"/>
  <c r="I52" i="1" l="1"/>
  <c r="P52" i="1" s="1"/>
  <c r="I51" i="1"/>
  <c r="P51" i="1" s="1"/>
  <c r="V60" i="1" s="1"/>
  <c r="E43" i="1" l="1"/>
  <c r="G43" i="1" s="1"/>
  <c r="E41" i="1"/>
  <c r="E42" i="1" s="1"/>
  <c r="G42" i="1" s="1"/>
  <c r="L42" i="1" l="1"/>
  <c r="J42" i="1"/>
  <c r="H42" i="1"/>
  <c r="N42" i="1" s="1"/>
  <c r="M42" i="1"/>
  <c r="K42" i="1"/>
  <c r="H43" i="1"/>
  <c r="N43" i="1" s="1"/>
  <c r="M43" i="1"/>
  <c r="K43" i="1"/>
  <c r="L43" i="1"/>
  <c r="J43" i="1"/>
  <c r="G41" i="1"/>
  <c r="I42" i="1" l="1"/>
  <c r="P42" i="1" s="1"/>
  <c r="I43" i="1"/>
  <c r="P43" i="1" s="1"/>
  <c r="J41" i="1"/>
  <c r="M41" i="1"/>
  <c r="K41" i="1"/>
  <c r="L41" i="1"/>
  <c r="H41" i="1"/>
  <c r="N41" i="1" s="1"/>
  <c r="I41" i="1" l="1"/>
  <c r="P41" i="1" s="1"/>
  <c r="V49" i="1" s="1"/>
  <c r="E28" i="1" l="1"/>
  <c r="G28" i="1" s="1"/>
  <c r="M28" i="1" l="1"/>
  <c r="K28" i="1"/>
  <c r="L28" i="1"/>
  <c r="J28" i="1"/>
  <c r="H28" i="1"/>
  <c r="N28" i="1" s="1"/>
  <c r="E29" i="1"/>
  <c r="G29" i="1" l="1"/>
  <c r="E30" i="1"/>
  <c r="G30" i="1" s="1"/>
  <c r="I28" i="1"/>
  <c r="P28" i="1" s="1"/>
  <c r="M30" i="1" l="1"/>
  <c r="K30" i="1"/>
  <c r="L30" i="1"/>
  <c r="J30" i="1"/>
  <c r="H30" i="1"/>
  <c r="N30" i="1" s="1"/>
  <c r="M29" i="1"/>
  <c r="K29" i="1"/>
  <c r="L29" i="1"/>
  <c r="J29" i="1"/>
  <c r="H29" i="1"/>
  <c r="N29" i="1" s="1"/>
  <c r="I30" i="1" l="1"/>
  <c r="P30" i="1" s="1"/>
  <c r="I29" i="1"/>
  <c r="P29" i="1" s="1"/>
  <c r="V39" i="1" l="1"/>
  <c r="E18" i="1"/>
  <c r="G18" i="1" s="1"/>
  <c r="M18" i="1" l="1"/>
  <c r="K18" i="1"/>
  <c r="L18" i="1"/>
  <c r="J18" i="1"/>
  <c r="H18" i="1"/>
  <c r="N18" i="1" s="1"/>
  <c r="E19" i="1"/>
  <c r="G19" i="1" s="1"/>
  <c r="M19" i="1" l="1"/>
  <c r="K19" i="1"/>
  <c r="L19" i="1"/>
  <c r="J19" i="1"/>
  <c r="H19" i="1"/>
  <c r="N19" i="1" s="1"/>
  <c r="E23" i="1" s="1"/>
  <c r="P23" i="1" s="1"/>
  <c r="I18" i="1"/>
  <c r="P18" i="1" s="1"/>
  <c r="I19" i="1" l="1"/>
  <c r="P19" i="1" s="1"/>
  <c r="V25" i="1" s="1"/>
  <c r="E7" i="1" l="1"/>
  <c r="E8" i="1" s="1"/>
  <c r="G8" i="1" s="1"/>
  <c r="G7" i="1" l="1"/>
  <c r="L7" i="1" s="1"/>
  <c r="L8" i="1"/>
  <c r="J8" i="1"/>
  <c r="H8" i="1"/>
  <c r="N8" i="1" s="1"/>
  <c r="M8" i="1"/>
  <c r="K8" i="1"/>
  <c r="L144" i="1" l="1"/>
  <c r="L143" i="1"/>
  <c r="L208" i="1"/>
  <c r="L142" i="1"/>
  <c r="L239" i="1"/>
  <c r="L207" i="1"/>
  <c r="L248" i="1"/>
  <c r="P248" i="1" s="1"/>
  <c r="V248" i="1" s="1"/>
  <c r="L237" i="1"/>
  <c r="L141" i="1"/>
  <c r="L241" i="1"/>
  <c r="L233" i="1"/>
  <c r="L238" i="1"/>
  <c r="L242" i="1"/>
  <c r="L229" i="1"/>
  <c r="L140" i="1"/>
  <c r="L216" i="1"/>
  <c r="P216" i="1" s="1"/>
  <c r="L206" i="1"/>
  <c r="L94" i="1"/>
  <c r="P94" i="1" s="1"/>
  <c r="L220" i="1"/>
  <c r="P220" i="1" s="1"/>
  <c r="V222" i="1" s="1"/>
  <c r="L215" i="1"/>
  <c r="P215" i="1" s="1"/>
  <c r="L211" i="1"/>
  <c r="P211" i="1" s="1"/>
  <c r="V213" i="1" s="1"/>
  <c r="K7" i="1"/>
  <c r="K311" i="1" s="1"/>
  <c r="J7" i="1"/>
  <c r="H7" i="1"/>
  <c r="N7" i="1" s="1"/>
  <c r="N311" i="1" s="1"/>
  <c r="M7" i="1"/>
  <c r="M311" i="1" s="1"/>
  <c r="I8" i="1"/>
  <c r="P8" i="1" s="1"/>
  <c r="V218" i="1" l="1"/>
  <c r="L311" i="1"/>
  <c r="N316" i="1" s="1"/>
  <c r="V95" i="1"/>
  <c r="I7" i="1"/>
  <c r="P7" i="1" s="1"/>
  <c r="P311" i="1" s="1"/>
  <c r="T312" i="1" l="1"/>
  <c r="N317" i="1" s="1"/>
  <c r="S312" i="1"/>
  <c r="V16" i="1"/>
  <c r="V311" i="1" s="1"/>
  <c r="R561" i="9" l="1"/>
  <c r="U560" i="9" l="1"/>
  <c r="T562" i="9"/>
</calcChain>
</file>

<file path=xl/sharedStrings.xml><?xml version="1.0" encoding="utf-8"?>
<sst xmlns="http://schemas.openxmlformats.org/spreadsheetml/2006/main" count="1715" uniqueCount="943">
  <si>
    <t>Muzaffarnagar UP</t>
  </si>
  <si>
    <t>Invoice Reconcilation</t>
  </si>
  <si>
    <t>Janardhan Organic Food Mill</t>
  </si>
  <si>
    <t>OHT Construction work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</si>
  <si>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</si>
  <si>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</si>
  <si>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</si>
  <si>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</si>
  <si>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</si>
  <si>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</si>
  <si>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</si>
  <si>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Amount</t>
  </si>
  <si>
    <t>TDS (1%)</t>
  </si>
  <si>
    <t>SD (5%)</t>
  </si>
  <si>
    <t>On Commissioning</t>
  </si>
  <si>
    <t>Testing Deposit</t>
  </si>
  <si>
    <t>GST SD (18%)</t>
  </si>
  <si>
    <t>Final Amount</t>
  </si>
  <si>
    <t>PAYMENT NOTE No.</t>
  </si>
  <si>
    <t>Total Amount Paid</t>
  </si>
  <si>
    <t>UTR</t>
  </si>
  <si>
    <t>RIUP22/505</t>
  </si>
  <si>
    <t>12-08-2022 NEFT/AXISP00311785176/RIUP22/505/JANARDAN ORGANIC 495000.00</t>
  </si>
  <si>
    <t>RIUP22/644</t>
  </si>
  <si>
    <t>01-09-2022 NEFT/AXISP00316618081/RIUP22/644/JANARDAN ORGANIC 297000.00</t>
  </si>
  <si>
    <t>RIUP22/988</t>
  </si>
  <si>
    <t>13-10-2022 NEFT/AXISP00328236223/RIUP22/988/JANARDAN ORGANIC 297000.00</t>
  </si>
  <si>
    <t>RIUP22/1856</t>
  </si>
  <si>
    <t>13-01-2023 NEFT/AXISP00354657704/RIUP22/1856/JANARDAN ORGANI 198000.00</t>
  </si>
  <si>
    <t>RIUP22/646</t>
  </si>
  <si>
    <t>01-09-2022 NEFT/AXISP00316618083/RIUP22/646/JANARDAN ORGANIC 297000.00</t>
  </si>
  <si>
    <t>RIUP22/1345</t>
  </si>
  <si>
    <t>24-11-2022 NEFT/AXISP00340040189/RIUP22/1345/JANARDAN ORGANI 594000.00</t>
  </si>
  <si>
    <t>RIUP22/1811</t>
  </si>
  <si>
    <t>09-01-2023 NEFT/AXISP00353457282/RIUP22/1811/JANARDAN ORGANI 297000.00</t>
  </si>
  <si>
    <t>RIUP22/1855</t>
  </si>
  <si>
    <t>13-01-2023 NEFT/AXISP00354657703/RIUP22/1855/JANARDAN ORGANI 198000.00</t>
  </si>
  <si>
    <t>RIUP22/817</t>
  </si>
  <si>
    <t>26-09-2022 NEFT/AXISP00322322393/RIUP22/817/JANARDAN ORGANIC 297000.00</t>
  </si>
  <si>
    <t>RIUP22/986</t>
  </si>
  <si>
    <t>13-10-2022 NEFT/AXISP00328236215/RIUP22/986/JANARDAN ORGANIC 495000.00</t>
  </si>
  <si>
    <t>RIUP22/816</t>
  </si>
  <si>
    <t>26-09-2022 NEFT/AXISP00322322394/RIUP22/816/JANARDAN ORGANIC 297000.00</t>
  </si>
  <si>
    <t>RIUP22/862</t>
  </si>
  <si>
    <t>01-10-2022 NEFT/AXISP00324527337/RIUP22/862/JANARDAN ORGANIC 297000.00</t>
  </si>
  <si>
    <t>RIUP22/987</t>
  </si>
  <si>
    <t>13-10-2022 NEFT/AXISP00328236219/RIUP22/987/JANARDAN ORGANIC 198000.00</t>
  </si>
  <si>
    <t>RIUP22/1785</t>
  </si>
  <si>
    <t>04-01-2023 NEFT/AXISP00351745737/RIUP22/1785/JANARDAN ORGANI ₹ 1,98,000.00</t>
  </si>
  <si>
    <t>RIUP22/2286</t>
  </si>
  <si>
    <t>24-02-2023 NEFT/AXISP00365286193/RIUP22/2286/JANARDAN ORGANI 164725.00</t>
  </si>
  <si>
    <t>RIUP22/1691</t>
  </si>
  <si>
    <t>29-12-2022 NEFT/AXISP00349704847/RIUP22/1691/JANARDAN ORGANI 1,98,000.00</t>
  </si>
  <si>
    <t>31-03-2023 NEFT/AXISP00377327406/RIUP22/2726/JANARDAN ORGANI 226706.00</t>
  </si>
  <si>
    <t>RIUP22/2726</t>
  </si>
  <si>
    <t>RIUP22/506</t>
  </si>
  <si>
    <t>12-08-2022 NEFT/AXISP00311785177/RIUP22/506/JANARDAN ORGANIC 495000.00</t>
  </si>
  <si>
    <t>RIUP22/1692</t>
  </si>
  <si>
    <t>29-12-2022 NEFT/AXISP00349704848/RIUP22/1692/JANARDAN ORGANI 2,97,000.00</t>
  </si>
  <si>
    <t>RIUP22/2467</t>
  </si>
  <si>
    <t>06-03-2023 NEFT/AXISP00369001729/RIUP22/2467/JANARDAN ORGANI 198000.00</t>
  </si>
  <si>
    <t>RIUP23/277</t>
  </si>
  <si>
    <t>16-05-2023 NEFT/AXISP00390411257/RIUP23/277/JANARDAN ORGANIC 297000.00</t>
  </si>
  <si>
    <t>RIUP23/329</t>
  </si>
  <si>
    <t>19-05-2023 NEFT/AXISP00391394988/RIUP23/329/JANARDAN ORGANIC ₹ 1,48,500.00</t>
  </si>
  <si>
    <t>19-05-2023 NEFT/AXISP00391394989/RIUP23/330/JANARDAN ORGANIC ₹ 1,48,500.00</t>
  </si>
  <si>
    <t>SPUP23/0192</t>
  </si>
  <si>
    <t>20-04-2023 20-04-2023 NEFT/AXISP00383281377/SPUP23/0192/JANARDAN ORGANI 78456.00</t>
  </si>
  <si>
    <t>SPUP23/0223</t>
  </si>
  <si>
    <t>21-04-2023 NEFT/AXISP00383483042/SPUP23/0223/JANARDAN ORGANIC 495000.00</t>
  </si>
  <si>
    <t>RIUP23/128A</t>
  </si>
  <si>
    <t>08-05-2023 NEFT/AXISP00388436958/RIUP23/128A/JANARDAN ORGANI 297000.00</t>
  </si>
  <si>
    <t>RIUP23/377</t>
  </si>
  <si>
    <t>24-05-2023 NEFT/AXISP00392362291/RIUP23/377/JANARDAN ORGANIC ₹ 2,97,000.00</t>
  </si>
  <si>
    <t>RIUP23/330</t>
  </si>
  <si>
    <t>RIUP22/960</t>
  </si>
  <si>
    <t>12-10-2022 NEFT/AXISP00327681883/RIUP22/960/JANARDAN ORGANIC 594000.00</t>
  </si>
  <si>
    <t>RIUP22/1786</t>
  </si>
  <si>
    <t>04-01-2023 NEFT/AXISP00351745736/RIUP22/1786/JANARDAN ORGANI ₹ 2,97,000.00</t>
  </si>
  <si>
    <t>SPUP23/0111A</t>
  </si>
  <si>
    <t>13-04-2023 13-04-2023 NEFT/AXISP00381812541/SPUP23/0111A/JANARDAN ORGAN 462864.00</t>
  </si>
  <si>
    <t>RIUP23/437</t>
  </si>
  <si>
    <t>29-05-2023 NEFT/AXISP00393138622/RIUP23/437/JANARDAN ORGANIC 297000.00</t>
  </si>
  <si>
    <t>SPUP23/0111</t>
  </si>
  <si>
    <t>13-04-2023 13-04-2023 NEFT/AXISP00381812543/SPUP23/0111/JANARDAN ORGANI 302065.00</t>
  </si>
  <si>
    <t>RIUP23/580</t>
  </si>
  <si>
    <t>12-06-2023 NEFT/AXISP00397581452/RIUP23/580/JANARDAN ORGANIC 99000.00</t>
  </si>
  <si>
    <t>RIUP22/2692</t>
  </si>
  <si>
    <t>08-05-2023 NEFT/AXISP00388520670/RIUP22/2692/JANARDAN ORGANI 88988.00</t>
  </si>
  <si>
    <t>RIUP23/127</t>
  </si>
  <si>
    <t>08-05-2023 NEFT/AXISP00388520669/RIUP23/127/JANARDAN ORGANIC 52706.00</t>
  </si>
  <si>
    <t>RIUP22/2466</t>
  </si>
  <si>
    <t>06-03-2023 NEFT/AXISP00369001728/RIUP22/2466/JANARDAN ORGANI 495000.00</t>
  </si>
  <si>
    <t>RIUP23/465</t>
  </si>
  <si>
    <t>01-06-2023 NEFT/AXISP00394836603/RIUP23/465/JANARDAN ORGANIC 297000.00</t>
  </si>
  <si>
    <t>RIUP23/656</t>
  </si>
  <si>
    <t>14-06-2023 NEFT/AXISP00398400317/RIUP23/656/JANARDAN ORGANIC ₹ 1,98,000.00</t>
  </si>
  <si>
    <t>RIUP23/652</t>
  </si>
  <si>
    <t>13-06-2023 NEFT/AXISP00398124636/RIUP23/652/JANARDAN ORGANIC 198000.00</t>
  </si>
  <si>
    <t>Total Paid</t>
  </si>
  <si>
    <t>Balance payable</t>
  </si>
  <si>
    <t>18-07-2023 NEFT/AXISP00407734317/RIUP23/1139/JANARDAN ORGANI 495000.00</t>
  </si>
  <si>
    <t>RIUP23/1139</t>
  </si>
  <si>
    <t>RIUP23/1231</t>
  </si>
  <si>
    <t>27-07-2023 NEFT/AXISP00409606069/RIUP23/1231/JANARDAN ORGANI 198000.00</t>
  </si>
  <si>
    <t>RIUP23/1226</t>
  </si>
  <si>
    <t>27-07-2023 NEFT/AXISP00409606075/RIUP23/1226/JANARDAN ORGANI 198000.00</t>
  </si>
  <si>
    <t>27-07-2023 NEFT/AXISP00409606070/RIUP23/1232/JANARDAN ORGANI 99000.00</t>
  </si>
  <si>
    <t>01-08-2023 NEFT/AXISP00411711487/RIUP23/1327/JANARDAN ORGANI 198000.00</t>
  </si>
  <si>
    <t>01-08-2023 NEFT/AXISP00411711489/RIUP23/1328/JANARDAN ORGANI 198000.00</t>
  </si>
  <si>
    <t>01-08-2023 NEFT/AXISP00411711490/RIUP23/1329/JANARDAN ORGANI 99000.00</t>
  </si>
  <si>
    <t>new rate</t>
  </si>
  <si>
    <t>new rate bill</t>
  </si>
  <si>
    <t>credit note</t>
  </si>
  <si>
    <t>GST release note</t>
  </si>
  <si>
    <t>15(A)</t>
  </si>
  <si>
    <t>Gst release note</t>
  </si>
  <si>
    <t>08-08-2023 NEFT/AXISP00414077688/RIUP23/1417/JANARDAN ORGANI ₹ 2,97,000.00</t>
  </si>
  <si>
    <t>RIUP23/1417</t>
  </si>
  <si>
    <t>08-08-2023 NEFT/AXISP00414077690/RIUP23/1416/JANARDAN ORGANI ₹ 1,98,000.00</t>
  </si>
  <si>
    <t>RIUP23/1416</t>
  </si>
  <si>
    <t>08-08-2023 NEFT/AXISP00414077689/RIUP23/1415/JANARDAN ORGANI ₹ 1,98,000.00</t>
  </si>
  <si>
    <t>RIUP23/1415</t>
  </si>
  <si>
    <t>09-08-2023 NEFT/AXISP00414544682/RIUP23/1450/JANARDAN ORGANI 297000.00</t>
  </si>
  <si>
    <t>RIUP23/1450</t>
  </si>
  <si>
    <t>09-08-2023 NEFT/AXISP00414544683/RIUP23/1451/JANARDAN ORGANI 198000.00</t>
  </si>
  <si>
    <t>RIUP23/1451</t>
  </si>
  <si>
    <t>14-08-2023 NEFT/AXISP00415763062/RIUP23/1528/JANARDAN ORGANI ₹ 4,95,000.00</t>
  </si>
  <si>
    <t>RIUP/23/1528</t>
  </si>
  <si>
    <t>11-08-2023 NEFT/AXISP00415007048/RIUP23/1475/JANARDAN ORGANI 198000.0</t>
  </si>
  <si>
    <t>RIUP23/1475</t>
  </si>
  <si>
    <t>RIUP23/1327</t>
  </si>
  <si>
    <t>14-08-2023 NEFT/AXISP00415542016/RIUP23/1502/JANARDAN ORGANI 495000.00</t>
  </si>
  <si>
    <t>RIUP23/1502</t>
  </si>
  <si>
    <t>17-08-2023 NEFT/AXISP00415005686/RIUP23/1585/JANARDAN ORGANI 99000.00</t>
  </si>
  <si>
    <t>RIUP23/1585</t>
  </si>
  <si>
    <t>30-08-2023 NEFT/AXISP00419232856/RIUP23/1797/JANARDAN ORGANIC F/UBIN0565750 ₹ 198000.00</t>
  </si>
  <si>
    <t>RIUP23/1797</t>
  </si>
  <si>
    <t>17-08-2023 NEFT/AXISP00415005687/RIUP23/1586/JANARDAN ORGANI 495000.00</t>
  </si>
  <si>
    <t>RIUP23/1586</t>
  </si>
  <si>
    <t>RIUP23/1329</t>
  </si>
  <si>
    <t>17-08-2023 NEFT/AXISP00415005685/RIUP23/1584/JANARDAN ORGANI 198000.00</t>
  </si>
  <si>
    <t>RIUP23/1584</t>
  </si>
  <si>
    <t>RIUP23/1328</t>
  </si>
  <si>
    <t>18-08-2023 NEFT/AXISP00416613518/RIUP23/1598/JANARDAN ORGANI 198000.00</t>
  </si>
  <si>
    <t>28-08-2023 NEFT/AXISP00418871535/RIUP23/1765/JANARDAN ORGANICF/UBIN0565750 198000.00</t>
  </si>
  <si>
    <t>RIUP23/1232</t>
  </si>
  <si>
    <t>RIUP23/1598</t>
  </si>
  <si>
    <t>RIUP23/1765</t>
  </si>
  <si>
    <t>18-08-2023 NEFT/AXISP00416613517/RIUP23/1597/JANARDAN ORGANI 297000.00</t>
  </si>
  <si>
    <t xml:space="preserve">28-08-2023 NEFT/AXISP00418871536/RIUP23/1764/JANARDAN ORGANICF/UBIN0565750 297000.00
</t>
  </si>
  <si>
    <t>RIUP23/1597</t>
  </si>
  <si>
    <t>RIUP23/1764</t>
  </si>
  <si>
    <t>18-08-2023 NEFT/AXISP00416613515/RIUP23/1595/JANARDAN ORGANI 198000.00</t>
  </si>
  <si>
    <t>28-08-2023 NEFT/AXISP00418871538/RIUP23/1762/JANARDAN ORGANICF/UBIN0565750 198000.00</t>
  </si>
  <si>
    <t>RIUP23/1595</t>
  </si>
  <si>
    <t>RIUP23/1762</t>
  </si>
  <si>
    <t>30-08-2023 NEFT/AXISP00419232178/RIUP23/1788/JANARDAN ORGANIC F/UBIN0565750 ₹ 2,97,000.00</t>
  </si>
  <si>
    <t>02-09-2023 NEFT/AXISP00419234585/RIUP23/1832/JANARDAN ORGANIC F/UBIN0565750 ₹ 1,98,000.00</t>
  </si>
  <si>
    <t>27-06-2023 NEFT/AXISP00401137696/RIUP23/1450/JANARDAN ORGANIC 198000.00</t>
  </si>
  <si>
    <t>18-08-2023 NEFT/AXISP00416613515/RIUP23/1596/JANARDAN ORGANI 297000.00</t>
  </si>
  <si>
    <t>28-08-2023 NEFT/AXISP00418871538/RIUP23/1763/JANARDAN ORGANICF/UBIN0565750 297000.00</t>
  </si>
  <si>
    <t>RIUP23/1788</t>
  </si>
  <si>
    <t>02-09-2023 NEFT/AXISP00419238545/RIUP23/1833/JANARDAN ORGANIC F/UBIN0565750 ₹ 2,97,000.00</t>
  </si>
  <si>
    <t>RIUP23/1833</t>
  </si>
  <si>
    <t>07-09-2023 NEFT/AXISP00422654401/RIUP23/1881/JANARDAN ORGANICF/UBIN0565750 297000.00</t>
  </si>
  <si>
    <t>Other Hold</t>
  </si>
  <si>
    <t>06-09-2023 NEFT/AXISP00422480718/RIUP23/1868/JANARDAN ORGANIC F/UBIN0565750 ₹ 2,97,000.00</t>
  </si>
  <si>
    <t>RIUP23/1868</t>
  </si>
  <si>
    <t>08-09-2023 NEFT/AXISP004166487236/RIUP23/1932/JANARDAN ORGANI 495000.00</t>
  </si>
  <si>
    <t>RIUP23/1932</t>
  </si>
  <si>
    <t>07-09-2023 NEFT/AXISP00422860736/RIUP23/1904/JANARDAN ORGANIC F/UBIN0565750 495000.00</t>
  </si>
  <si>
    <t>RIUP23/1904</t>
  </si>
  <si>
    <t>16-09-2023 NEFT/AXISP00425556015/RIUP23/2072/JANARDAN ORGANIC F/UBIN0565750 ₹ 2,47,500.00</t>
  </si>
  <si>
    <t>13-09-2023 NEFT/AXISP00424689684/RIUP23/2006/JANARDAN ORGANIC F/UBIN0565750 297000.00</t>
  </si>
  <si>
    <t>18-09-2023 NEFT/AXISP00409859658/RIUP23/2124/JANARDAN ORGANI 297000.00</t>
  </si>
  <si>
    <t>RIUP23/2124</t>
  </si>
  <si>
    <t>18-09-2023 NEFT/AXISP00409859657/RIUP23/2123/JANARDAN ORGANI 297000.00</t>
  </si>
  <si>
    <t>RIUP23/1832</t>
  </si>
  <si>
    <t>RIUP23/2123</t>
  </si>
  <si>
    <t>18-09-2023 NEFT/AXISP00409859656/RIUP23/2122/JANARDAN ORGANI 198000.00</t>
  </si>
  <si>
    <t>RIUP23/2122</t>
  </si>
  <si>
    <t>27-09-2023 NEFT/AXISP00427962781/RIUP23/2342/JANARDAN ORGANIC F/UBIN0565750 247500.00</t>
  </si>
  <si>
    <t>RIUP23/2342</t>
  </si>
  <si>
    <t xml:space="preserve">03-10-2023 NEFT/AXISP00429778568/RIUP23/2432/JANARDAN ORGANIC F/UBIN0565750 198000.00
</t>
  </si>
  <si>
    <t>RIUP23/2432</t>
  </si>
  <si>
    <t>22-09-2023 NEFT/AXISP00426907969/RIUP23/2207/JANARDAN ORGANIC F/UBIN0565750 495000.00</t>
  </si>
  <si>
    <t>RIUP23/2207</t>
  </si>
  <si>
    <t>18-10-2023 NEFT/AXISP00435286865/RIUP23/2737/JANARDAN ORGANIC F/UBIN0565750 297000.00</t>
  </si>
  <si>
    <t>18-10-2023 NEFT/AXISP00435286866/RIUP23/2738/JANARDAN ORGANICF/UBIN0565750 297000.00</t>
  </si>
  <si>
    <t>18-10-2023 NEFT/AXISP00435286867/RIUP23/2739/JANARDAN ORGANICF/UBIN0565750 198000.00</t>
  </si>
  <si>
    <t>18-10-2023 NEFT/AXISP00435286864/RIUP23/2736/JANARDAN ORGANIC F/UBIN0565750 198000.00</t>
  </si>
  <si>
    <t>08-09-2023 NEFT/AXISP00416645856/RIUP23/1931/JANARDAN ORGANI 198000.00</t>
  </si>
  <si>
    <t>13-09-2023 NEFT/AXISP00424689683/RIUP23/2005/JANARDAN ORGANIC F/UBIN0565750 297000.00</t>
  </si>
  <si>
    <t>16-09-2023 NEFT/AXISP00425556016/RIUP23/2071/JANARDAN ORGANIC F/UBIN0565750 ₹ 2,47,500.00</t>
  </si>
  <si>
    <t>RIUP23/1931</t>
  </si>
  <si>
    <t>RIUP23/2005</t>
  </si>
  <si>
    <t>RIUP23/2071</t>
  </si>
  <si>
    <t>22-09-2023 NEFT/AXISP00426907968/RIUP23/2208/JANARDAN ORGANIC F/UBIN0565750 297000.00</t>
  </si>
  <si>
    <t>RIUP23/2208</t>
  </si>
  <si>
    <t>31-10-2023 NEFT/AXISP00426904563/RIUP23/2993/JANARDAN ORGANIC F/UBIN0565750 99000.00</t>
  </si>
  <si>
    <t>RIUP23/2993</t>
  </si>
  <si>
    <t>31-10-2023 NEFT/AXISP00426904565/RIUP23/2992/JANARDAN ORGANIC F/UBIN0565750 297000.00</t>
  </si>
  <si>
    <t>RIUP23/2992</t>
  </si>
  <si>
    <t>31-10-2023 NEFT/AXISP00426904564/RIUP23/2991/JANARDAN ORGANIC F/UBIN0565750 247500.00</t>
  </si>
  <si>
    <t>RIUP23/2991</t>
  </si>
  <si>
    <t>RIUP23/2988</t>
  </si>
  <si>
    <t>31-10-2023 NEFT/AXISP00426904561/RIUP23/2988/JANARDAN ORGANIC F/UBIN0565750 396000.00</t>
  </si>
  <si>
    <t>31-10-2023 NEFT/AXISP00426904562/RIUP23/2989/JANARDAN ORGANIC F/UBIN0565750 148500.00</t>
  </si>
  <si>
    <t>RIUP23/2989</t>
  </si>
  <si>
    <t>31-10-2023 NEFT/AXISP00426904563/RIUP23/2990/JANARDAN ORGANIC F/UBIN0565750 396000.00</t>
  </si>
  <si>
    <t>RIUP23/2990</t>
  </si>
  <si>
    <t>_</t>
  </si>
  <si>
    <t>08-11-2023 NEFT/AXISP00441869060/RIUP23/3122/JANARDAN ORGANIC F/UBIN0565750 495000.00</t>
  </si>
  <si>
    <t>RIUP/23/3122</t>
  </si>
  <si>
    <t>08-11-2023 NEFT/AXISP00441869061/RIUP23/3123/JANARDAN ORGANIC F/UBIN0565750 495000.00</t>
  </si>
  <si>
    <t>10-11-2023 NEFT/AXISP00443569641/RIUP23/3272/JANARDAN ORGANICF/UBIN0565750 1485000.00</t>
  </si>
  <si>
    <t>RIUP23/3272</t>
  </si>
  <si>
    <t>08-11-2023 NEFT/AXISP00442118547/RIUP23/3127/JANARDAN ORGANIC F/UBIN0565750 247500.00</t>
  </si>
  <si>
    <t>18-11-2023 NEFT/AXISP00445101578/RIUP23/3348/JANARDAN ORGANIC F/UBIN0565750 ₹ 1,98,000.00</t>
  </si>
  <si>
    <t>RIUP23/3127</t>
  </si>
  <si>
    <t>RIUP23/3348</t>
  </si>
  <si>
    <t>18-11-2023 NEFT/AXISP00445101581/RIUP23/3345/JANARDAN ORGANIC F/UBIN0565750 ₹ 2,97,000.00</t>
  </si>
  <si>
    <t>RIUP23/3345</t>
  </si>
  <si>
    <t>18-11-2023 NEFT/AXISP00445101580/RIUP23/3346/JANARDAN ORGANIC F/UBIN0565750 ₹ 3,96,000.00</t>
  </si>
  <si>
    <t>08-11-2023 NEFT/AXISP00442118548/RIUP23/3124/JANARDAN ORGANIC F/UBIN0565750 148500.00</t>
  </si>
  <si>
    <t>RIUP23/3124</t>
  </si>
  <si>
    <t>RIUP23/3346</t>
  </si>
  <si>
    <t>07-12-2023 NEFT/AXISP00450593584/RIUP23/3646/JANARDAN ORGANIC F/UBIN0565750₹ 5,44,500.00</t>
  </si>
  <si>
    <t>RIUP22/3646</t>
  </si>
  <si>
    <t>06-12-2023 NEFT/AXISP00450305029/RIUP23/3636/JANARDAN ORGANICF/UBIN0565750 297000.00</t>
  </si>
  <si>
    <t>RIUP22/3636</t>
  </si>
  <si>
    <t>08-12-2023 NEFT/AXISP00451236004/RIUP23/3657/JANARDAN ORGANICF/UBIN0565750 346500.00</t>
  </si>
  <si>
    <t>RIUP22/3657</t>
  </si>
  <si>
    <t>08-12-2023 NEFT/AXISP00451236005/RIUP23/3658/JANARDAN ORGANIC F/UBIN0565750 346500.00</t>
  </si>
  <si>
    <t>RIUP22/3658</t>
  </si>
  <si>
    <t>08-11-2023 NEFT/AXISP00442118545/RIUP23/3125/JANARDAN ORGANICF/UBIN0565750 247500.00</t>
  </si>
  <si>
    <t>11-12-2023 NEFT/AXISP00451739035/RIUP23/3689/JANARDAN ORGANICF/UBIN0565750 396000.00</t>
  </si>
  <si>
    <t>RIUP23/3689</t>
  </si>
  <si>
    <t>11-12-2023 NEFT/AXISP00451739036/RIUP23/3690/JANARDAN ORGANICF/UBIN0565750 148500.00</t>
  </si>
  <si>
    <t>RIUP23/3690</t>
  </si>
  <si>
    <t>11-12-2023 NEFT/AXISP00451739037/RIUP23/3691/JANARDAN ORGANICF/UBIN0565750 148500.00</t>
  </si>
  <si>
    <t>RIUP22/3691</t>
  </si>
  <si>
    <t>11-12-2023 NEFT/AXISP00451739034/RIUP23/3688/JANARDAN ORGANICF/UBIN0565750 148500.00</t>
  </si>
  <si>
    <t>RIUP22/3688</t>
  </si>
  <si>
    <t>11-12-2023 NEFT/AXISP00451739038/RIUP23/3692/JANARDAN ORGANICF/UBIN0565750 297000.00</t>
  </si>
  <si>
    <t>RIUP22/3692</t>
  </si>
  <si>
    <t>11-12-2023 NEFT/AXISP00451739039/RIUP23/3693/JANARDAN ORGANICF/UBIN0565750 247500.00</t>
  </si>
  <si>
    <t>RIUP22/3693</t>
  </si>
  <si>
    <t>16-12-2023 NEFT/AXISP00453579121/RIUP23/3817/JANARDAN ORGANICF/UBIN0565750 247500.00</t>
  </si>
  <si>
    <t>21-12-2023 NEFT/AXISP00454518239/RIUP23/3883/JANARDAN ORGANICF/UBIN0565750 445500.00</t>
  </si>
  <si>
    <t>RIUP23/3883</t>
  </si>
  <si>
    <t>22-12-2023 NEFT/AXISP00455046738/RIUP23/3935/JANARDAN ORGANICF/UBIN0565750 148500.00</t>
  </si>
  <si>
    <t>RIUP23/3935</t>
  </si>
  <si>
    <t>22-12-2023 NEFT/AXISP00455032181/RIUP23/3934/JANARDAN ORGANICF/UBIN0565750 99000.00</t>
  </si>
  <si>
    <t>RIUP23/3934</t>
  </si>
  <si>
    <t>22-12-2023 NEFT/AXISP00455032182/RIUP23/3933/JANARDAN ORGANICF/UBIN0565750 99000.00</t>
  </si>
  <si>
    <t>RIUP23/3933</t>
  </si>
  <si>
    <t>27-12-2023 NEFT/AXISP00455932928/RIUP23/3993/JANARDAN ORGANICF/UBIN0565750 495000.00</t>
  </si>
  <si>
    <t>RIUP22/3993</t>
  </si>
  <si>
    <t>27-12-2023 NEFT/AXISP004505985648/RIUP23/3992/JANARDAN ORGANIC F/UBIN0565750₹ 495000.00</t>
  </si>
  <si>
    <t>RIUP22/3992</t>
  </si>
  <si>
    <t>30-12-2023 NEFT/AXISP00457527700/RIUP23/4041/JANARDAN ORGANICF/UBIN0565750 495000.00</t>
  </si>
  <si>
    <t>RIUP22/4041</t>
  </si>
  <si>
    <t>Total Hold</t>
  </si>
  <si>
    <t>Advance / Surplus</t>
  </si>
  <si>
    <t>Debit</t>
  </si>
  <si>
    <t>18-11-2023 NEFT/AXISP00445101579/RIUP23/3347/JANARDAN ORGANIC F/UBIN0565750 ₹ 4,95,000.00</t>
  </si>
  <si>
    <t>08-11-2023 NEFT/AXISP00442118546/RIUP23/3126/JANARDAN ORGANIC F/UBIN0565750 346500.00</t>
  </si>
  <si>
    <t>RIUP22/3126</t>
  </si>
  <si>
    <t>RIUP22/3347</t>
  </si>
  <si>
    <t>Village Wise Advance</t>
  </si>
  <si>
    <t>24-01-2024 NEFT/AXISP00464671618/RIUP23/4455/JANARDAN ORGANICF/UBIN0565750 990000.00</t>
  </si>
  <si>
    <t>24-01-2024 NEFT/AXISP00464671619/RIUP23/4454/JANARDAN ORGANIC F/UBIN0565750 990000.00</t>
  </si>
  <si>
    <t>25-01-2024 NEFT/AXISP00464876210/RIUP23/4460/JANARDAN ORGANICF/UBIN0565750 990000.00</t>
  </si>
  <si>
    <t>RIUP22/4460</t>
  </si>
  <si>
    <t>16-01-2024 NEFT/AXISP00462742320/RIUP23/4263/JANARDAN ORGANICF/UBIN0565750 495000.00</t>
  </si>
  <si>
    <t>RIUP22/4263</t>
  </si>
  <si>
    <t>04-01-2024 NEFT/AXISP00459339757/RIUP23/4109/JANARDAN ORGANICF/UBIN0565750 495000.00</t>
  </si>
  <si>
    <t>RIUP22/4109</t>
  </si>
  <si>
    <t>15-01-2024 NEFT/AXISP00462584650/RIUP23/4264/JANARDAN ORGANICF/UBIN0565750 495000.00</t>
  </si>
  <si>
    <t>RIUP22/4264</t>
  </si>
  <si>
    <t>07-02-2024 NEFT/AXISP00468952329/RIUP23/4619/JANARDAN ORGANIC F/UBIN0565750 297000.00</t>
  </si>
  <si>
    <t>RIUP22/4619</t>
  </si>
  <si>
    <t>12-02-2024 NEFT/AXISP00470368414/RIUP23/4641/JANARDAN ORGANIC F/UBIN0565750 396000.00</t>
  </si>
  <si>
    <t>RIUP22/4641</t>
  </si>
  <si>
    <t>15-02-2024 EFT/AXISP00471739439/RIUP23/4690/JANARDAN ORGANICF/UBIN0565750 198000.00</t>
  </si>
  <si>
    <t>RIUP22/4690</t>
  </si>
  <si>
    <t>12-02-2024 NEFT/AXISP00470696777/RIUP23/4658/JANARDAN ORGANIC F/UBIN0565750 396000.00</t>
  </si>
  <si>
    <t>RIUP23/4658</t>
  </si>
  <si>
    <t>17-02-2024 NEFT/AXISP00472224387/RIUP23/4747/JANARDAN ORGANIC F/UBIN0565750 ₹ 3,96,000.00</t>
  </si>
  <si>
    <t>RIUP22/4747</t>
  </si>
  <si>
    <t>17-02-2024 NEFT/AXISP00472224388/RIUP23/4748/JANARDAN ORGANIC F/UBIN0565750 ₹ 3,96,000.00</t>
  </si>
  <si>
    <t>RIUP22/4748</t>
  </si>
  <si>
    <t>23-02-2024 NEFT/AXISP00473458148/RIUP23/4822/JANARDAN ORGANICF/UBIN0565750 693000.00</t>
  </si>
  <si>
    <t>Aaklor - 225 KL 12 mtr</t>
  </si>
  <si>
    <t>21-12-2023 NEFT/AXISP00454518240/RIUP23/3884/JANARDAN ORGANICF/UBIN0565750 445500.00</t>
  </si>
  <si>
    <t>25-01-2024 NEFT/AXISP00464876209/RIUP23/4461/JANARDAN ORGANICF/UBIN0565750 990000.00</t>
  </si>
  <si>
    <t>Moolaheri - 200 KL 16 mtr</t>
  </si>
  <si>
    <t xml:space="preserve"> BALANCE work - GARHIDURGANPUR  125KL 12 MTR  </t>
  </si>
  <si>
    <t xml:space="preserve">BALANCE Work - BIHARI - 400KL 16 MTR </t>
  </si>
  <si>
    <t xml:space="preserve">BHAMELA  - 125KL 12 MTR </t>
  </si>
  <si>
    <t xml:space="preserve">AKBARGARDH - 150KL  12MTR </t>
  </si>
  <si>
    <t xml:space="preserve">MUTHRA  - 275 KL 12M </t>
  </si>
  <si>
    <t xml:space="preserve"> NASIRPUR VILLAGE - 125KL 12 M</t>
  </si>
  <si>
    <t xml:space="preserve">GUNIYAJUDDI -  150KL 12 M </t>
  </si>
  <si>
    <t xml:space="preserve">SIKHEDA  - 325 KL 14M </t>
  </si>
  <si>
    <t>Not booked</t>
  </si>
  <si>
    <t>Bhaisani Village - 150 KL 12 mtr</t>
  </si>
  <si>
    <t xml:space="preserve">BALANCE work - Gujarhedi - 150KL 12MTR </t>
  </si>
  <si>
    <t xml:space="preserve">Behedi - 250 KL 14m </t>
  </si>
  <si>
    <t xml:space="preserve"> SAIDPUR KALAN - 225 Kl 12 mtr</t>
  </si>
  <si>
    <t>RASULPUR Village - 150KL 12mtr</t>
  </si>
  <si>
    <t>BHIKKI - 100KL 14Mtr</t>
  </si>
  <si>
    <t>KALLARPUR -  50KL 12M</t>
  </si>
  <si>
    <t xml:space="preserve">Badkali - 150KL 12M </t>
  </si>
  <si>
    <t xml:space="preserve">HAIBATPUR - 275KL 12M </t>
  </si>
  <si>
    <t xml:space="preserve">Manganpur - 50KL 12M  </t>
  </si>
  <si>
    <t xml:space="preserve">Bibipur - 150KL 12M  </t>
  </si>
  <si>
    <t>16-02-2024 NEFT/AXISP00471832017/RIUP23/4710/JANARDAN ORGANIC F/UBIN0565750 ₹ 3,96,000.00</t>
  </si>
  <si>
    <t xml:space="preserve">Badhai Khurd - 200KL 12M  </t>
  </si>
  <si>
    <t xml:space="preserve">Dholari -  150KL 12M  </t>
  </si>
  <si>
    <t>16-02-2024 NEFT/AXISP00471832016/RIUP23/4709/JANARDAN ORGANIC F/UBIN0565750 ₹ 99,000.00</t>
  </si>
  <si>
    <t>Rohana Kalan - 225 KL 16 mtr</t>
  </si>
  <si>
    <t xml:space="preserve">Pipalhera Village - 225 KL 12 m </t>
  </si>
  <si>
    <t>Lakhan Village -  350 KL 12M</t>
  </si>
  <si>
    <t>55766 - Duplicate issue</t>
  </si>
  <si>
    <t>Tigri Village - 300 Kl 12 mtr</t>
  </si>
  <si>
    <t>Jatmujheda  - 300 KL 12 mtr</t>
  </si>
  <si>
    <t>29/24</t>
  </si>
  <si>
    <t>KHEDI DUDHARI -  225 KL 12M</t>
  </si>
  <si>
    <t>Foloda  - 300 KL  12 mtr</t>
  </si>
  <si>
    <t>RAEE - 250 Kl 12 mtr</t>
  </si>
  <si>
    <t xml:space="preserve">SILAJUDDI Village - 150KL 12M  </t>
  </si>
  <si>
    <t>Sandhawali - 300kl 14m</t>
  </si>
  <si>
    <t>28/23</t>
  </si>
  <si>
    <t>Badhai kalan - 200 Kl 12 mtr</t>
  </si>
  <si>
    <t>HAIDARNAGAR - 200 KL 12M</t>
  </si>
  <si>
    <t>pachenda kalan - 350Kl 14 mtr</t>
  </si>
  <si>
    <t>Datyana -  500 KL 14 M</t>
  </si>
  <si>
    <t>41/32</t>
  </si>
  <si>
    <t>Kheriwiran  - 250 Kl 12 mtr</t>
  </si>
  <si>
    <t>Mustafabad - 350 KL 14 mtr</t>
  </si>
  <si>
    <t>kacholi - 175 kl 12m</t>
  </si>
  <si>
    <t>Kasiara - 125 kl 12m</t>
  </si>
  <si>
    <t>Karwara Village -  150 KL 16M</t>
  </si>
  <si>
    <t>Rohana Khurd - 225 KL 12 mtr</t>
  </si>
  <si>
    <t>29-02-2024 NEFT/AXISP00474996974/RIUP23/4914/JANARDAN ORGANIC F/UBIN0565750 ₹ 2,97,000.00</t>
  </si>
  <si>
    <t>RIUP23/4914</t>
  </si>
  <si>
    <t>29-02-2024 NEFT/AXISP00474996976/RIUP23/4912/JANARDAN ORGANIC F/UBIN0565750 ₹ 2,97,000.00</t>
  </si>
  <si>
    <t>RIUP23/4912</t>
  </si>
  <si>
    <t>29-02-2024 NEFT/AXISP00474996975/RIUP23/4913/JANARDAN ORGANIC F/UBIN0565750 ₹ 1,98,000.00</t>
  </si>
  <si>
    <t>RIUP23/4913</t>
  </si>
  <si>
    <t>01-03-2024 NEFT/AXISP00476344561/RIUP23/4944/JANARDAN ORGANICF/UBIN0565750 495000.00</t>
  </si>
  <si>
    <t>RIUP23/4709</t>
  </si>
  <si>
    <t>RIUP23/4944</t>
  </si>
  <si>
    <t>01-03-2024 NEFT/AXISP00476344560/RIUP23/4945/JANARDAN ORGANICF/UBIN0565750 495000.00</t>
  </si>
  <si>
    <t>RIUP23/4945</t>
  </si>
  <si>
    <t>01-03-2024 NEFT/AXISP00476344562/RIUP23/4943/JANARDAN ORGANICF/UBIN0565750 495000.00</t>
  </si>
  <si>
    <t>RIUP23/1881</t>
  </si>
  <si>
    <t>RIUP23/2006</t>
  </si>
  <si>
    <t>RIUP23/2072</t>
  </si>
  <si>
    <t>RIUP23/4943</t>
  </si>
  <si>
    <t>01-03-2024 NEFT/AXISP00476344559/RIUP23/4946/JANARDAN ORGANICF/UBIN0565750 495000.00</t>
  </si>
  <si>
    <t>RIUP23/4946</t>
  </si>
  <si>
    <t>RIUP23/4710</t>
  </si>
  <si>
    <t>07-03-2024 NEFT/AXISP00478571756/RIUP23/5056/JANARDAN ORGANICF/UBIN0565750 495000.00</t>
  </si>
  <si>
    <t>RIUP22/5056</t>
  </si>
  <si>
    <t>07-03-2024 NEFT/AXISP00478571755/RIUP23/5057/JANARDAN ORGANICF/UBIN0565750 990000.00</t>
  </si>
  <si>
    <t>RIUP22/5057</t>
  </si>
  <si>
    <t>13-03-2024 NEFT/AXISP00480478341/RIUP23/5097/JANARDAN ORGANICF/UBIN0565750 495000.00</t>
  </si>
  <si>
    <t>RIUP22/5097</t>
  </si>
  <si>
    <t>RIUP22/3884</t>
  </si>
  <si>
    <t>RIUP22/4461</t>
  </si>
  <si>
    <t>13-03-2024 NEFT/AXISP00480478342/RIUP23/5098/JANARDAN ORGANICF/UBIN0565750 495000.00</t>
  </si>
  <si>
    <t>RIUP22/5098</t>
  </si>
  <si>
    <t>29-03-2024 NEFT/AXISP00485733266/RIUP23/5308/JANARDAN ORGANIC F/UBIN0565750 ₹ 1,98,000.00</t>
  </si>
  <si>
    <t>BALANCE WORK OF OHT AT BADH - 150 KL - 12 mtr</t>
  </si>
  <si>
    <t>22-03-2024 NEFT/AXISP00483649282/RIUP23/5275/JANARDAN ORGANICF/UBIN0565750 495000.00</t>
  </si>
  <si>
    <t>31-03-2024 NEFT/AXISP00486642305/RIUP23/5346/JANARDAN ORGANICF/UBIN0565750 495000.00</t>
  </si>
  <si>
    <t>31-03-2024 NEFT/AXISP00486642304/RIUP23/5345/JANARDAN ORGANICF/UBIN0565750 990000.00</t>
  </si>
  <si>
    <t>31-03-2024 NEFT/AXISP00486642303/RIUP23/5344/JANARDAN ORGANICF/UBIN0565750 990000.00</t>
  </si>
  <si>
    <t>22-03-2024 NEFT/AXISP00483649283/RIUP23/5274/JANARDAN ORGANICF/UBIN0565750 495000.00</t>
  </si>
  <si>
    <t>22-03-2024 NEFT/AXISP00483649284/RIUP23/5273/JANARDAN ORGANICF/UBIN0565750 495000.00</t>
  </si>
  <si>
    <t>06-04-2024 NEFT/AXISP00489186659/RIUP24/078/JANARDAN ORGANICF/UBIN0565750 990000.00</t>
  </si>
  <si>
    <t>06-04-2024 NEFT/AXISP00489186658/RIUP24/077/JANARDAN ORGANICF/UBIN0565750 990000.00</t>
  </si>
  <si>
    <t>29-03-2024 NEFT/AXISP00485733265/RIUP23/5307/JANARDAN ORGANIC F/UBIN0565750 ₹ 1,98,000.00</t>
  </si>
  <si>
    <t>15-02-2024 NEFT/AXISP00471739437/RIUP23/4691/JANARDAN ORGANIC F/UBIN0565750 297000.00</t>
  </si>
  <si>
    <t>55766, 51725</t>
  </si>
  <si>
    <t>5 lakh by sir</t>
  </si>
  <si>
    <t>Revise rate</t>
  </si>
  <si>
    <t>Top Dome</t>
  </si>
  <si>
    <t>Revise Rate</t>
  </si>
  <si>
    <t>38,29</t>
  </si>
  <si>
    <t>Revised Rate</t>
  </si>
  <si>
    <t>04-05-2024 NEFT/AXISP00496939379/RIUP24/0394/JANARDAN ORGANICF/UBIN0565750 190000.00</t>
  </si>
  <si>
    <t>04-05-2024 NEFT/AXISP00496939378/RIUP24/0393/JANARDAN ORGANICF/UBIN0565750 190000.00</t>
  </si>
  <si>
    <t>04-05-2024 NEFT/AXISP00496939377/RIUP24/0392/JANARDAN ORGANICF/UBIN0565750 475000.00</t>
  </si>
  <si>
    <t>04-05-2024 NEFT/AXISP00496939376/RIUP24/0391/JANARDAN ORGANICF/UBIN0565750 285000.00</t>
  </si>
  <si>
    <t>61, 209</t>
  </si>
  <si>
    <t>34,27</t>
  </si>
  <si>
    <t>44, 193</t>
  </si>
  <si>
    <t>36, 190</t>
  </si>
  <si>
    <t>43, 192</t>
  </si>
  <si>
    <t>49, 198</t>
  </si>
  <si>
    <t>14-05-2024 NEFT/AXISP00499706369/RIUP24/0479/JANARDAN ORGANICF/UBIN0565750 285000.00</t>
  </si>
  <si>
    <t>14-05-2024 NEFT/AXISP00499706368/RIUP24/0478/JANARDAN ORGANICF/UBIN0565750 190000.00</t>
  </si>
  <si>
    <t>17-05-2024 NEFT/AXISP00500883099/RIUP24/0553/JANARDAN ORGANICF/UBIN0565750 475000.00</t>
  </si>
  <si>
    <t>RIUP24/0553</t>
  </si>
  <si>
    <t>17-05-2024 NEFT/AXISP00500883098/RIUP24/0552/JANARDAN ORGANICF/UBIN0565750 475000.00</t>
  </si>
  <si>
    <t>RIUP24/0552</t>
  </si>
  <si>
    <t>22-05-2024 NEFT/AXISP00501949252/RIUP24/0591/JANARDAN ORGANICF/UBIN0565750 712500.00</t>
  </si>
  <si>
    <t>RIUP24/0591</t>
  </si>
  <si>
    <t>22-05-2024 NEFT/AXISP00501949253/RIUP24/0590/JANARDAN ORGANICF/UBIN0565750 712500.00</t>
  </si>
  <si>
    <t>RIUP24/0590</t>
  </si>
  <si>
    <t>27-05-2024 NEFT/AXISP00502951884/RIUP24/0631/JANARDAN ORGANIC F/UBIN0565750 380000.00</t>
  </si>
  <si>
    <t>clear</t>
  </si>
  <si>
    <t>70, 217</t>
  </si>
  <si>
    <t>Cleared</t>
  </si>
  <si>
    <t>71, 220</t>
  </si>
  <si>
    <t>69, 216</t>
  </si>
  <si>
    <t>Need the revised bill</t>
  </si>
  <si>
    <t>74, 225</t>
  </si>
  <si>
    <t>113, 253</t>
  </si>
  <si>
    <t>75, 224</t>
  </si>
  <si>
    <t xml:space="preserve">Cleared </t>
  </si>
  <si>
    <t>Need Revised bill</t>
  </si>
  <si>
    <t>108, 249</t>
  </si>
  <si>
    <t>100, 240</t>
  </si>
  <si>
    <t xml:space="preserve">79, 227 </t>
  </si>
  <si>
    <t>29 , 24</t>
  </si>
  <si>
    <t>Need revised bill</t>
  </si>
  <si>
    <t>cleared</t>
  </si>
  <si>
    <t>114, 252</t>
  </si>
  <si>
    <t>107, 246</t>
  </si>
  <si>
    <t>41, 32</t>
  </si>
  <si>
    <t>97, 239</t>
  </si>
  <si>
    <t>80,  226</t>
  </si>
  <si>
    <t>95, 238</t>
  </si>
  <si>
    <t>50, 199</t>
  </si>
  <si>
    <t>77 - 218 &amp; 191</t>
  </si>
  <si>
    <t>93, 233</t>
  </si>
  <si>
    <t>Need Revised Bill</t>
  </si>
  <si>
    <t>101, 242</t>
  </si>
  <si>
    <t>102, 243</t>
  </si>
  <si>
    <t>94, 236</t>
  </si>
  <si>
    <t>91, 235</t>
  </si>
  <si>
    <t>78, 222</t>
  </si>
  <si>
    <t>76, 223</t>
  </si>
  <si>
    <t>05-06-2024 NEFT/AXISP00506483684/RIUP24/0749/JANARDAN ORGANICF/UBIN0565750 990000.00</t>
  </si>
  <si>
    <t>39, 30</t>
  </si>
  <si>
    <t>05-06-2024 NEFT/AXISP00506483683/RIUP24/0750/JANARDAN ORGANICF/UBIN0565750 495000.00</t>
  </si>
  <si>
    <t>RIUP24/750</t>
  </si>
  <si>
    <t>05-06-2024 NEFT/AXISP00506483682/RIUP24/0751/JANARDAN ORGANICF/UBIN0565750 990000.00</t>
  </si>
  <si>
    <t>05-06-2024 NEFT/AXISP00506483681/RIUP24/0752/JANARDAN ORGANICF/UBIN0565750 495000.00</t>
  </si>
  <si>
    <t>RIUP24/0752</t>
  </si>
  <si>
    <t>Not checked</t>
  </si>
  <si>
    <t>Pl confirm</t>
  </si>
  <si>
    <t>10-05-2024 NEFT-YESIG41310193693-JANARDAN ORGANIC RIUP24/0472 237,500.00</t>
  </si>
  <si>
    <t>35, 72</t>
  </si>
  <si>
    <t>16-12-2023 NEFT/AXISP00453579120/RIUP23/3818/JANARDAN ORGANICF/UBIN0565750 247500.00</t>
  </si>
  <si>
    <t>13-06-2024 NEFT/AXISP00509043663/RIUP24/0849/JANARDAN ORGANICF/UBIN0565750 495000.00</t>
  </si>
  <si>
    <t>13-06-2024 NEFT/AXISP00509043662/RIUP24/0848/JANARDAN ORGANICF/UBIN0565750 495000.00</t>
  </si>
  <si>
    <t>19-06-2024 NEFT/AXISP00478545263/RIUP24/0852/JANARDAN ORGANIC F/UBIN0565750 ₹ 9,90,000.00</t>
  </si>
  <si>
    <t>20-06-2024 NEFT/AXISP00510529376/RIUP24/0847/JANARDAN ORGANICF/UBIN0565750 990000.00</t>
  </si>
  <si>
    <t>05-07-2024 NEFT/AXISP00515770436/RIUP24/1060/JANARDAN ORGANICF/UBIN0565750 198000.00</t>
  </si>
  <si>
    <t>05-07-2024 NEFT/AXISP00515770435/RIUP24/1059/JANARDAN ORGANICF/UBIN0565750 297000.00</t>
  </si>
  <si>
    <t>05-07-2024 NEFT/AXISP00515770437/RIUP24/1058/JANARDAN ORGANICF/UBIN0565750 198000.00</t>
  </si>
  <si>
    <t>21-06-2024 NEFT/AXISP00510928386/RIUP24/0908/JANARDAN ORGANICF/UBIN0565750 990000.00</t>
  </si>
  <si>
    <t>06-07-2024 NEFT/AXISP00516321901/RIUP24/1065/JANARDAN ORGANICF/UBIN0565750 297000.00</t>
  </si>
  <si>
    <t>06-07-2024 NEFT/AXISP00516321900/RIUP24/1064/JANARDAN ORGANICF/UBIN0565750 495000.00</t>
  </si>
  <si>
    <t>06-07-2024 NEFT/AXISP00516321899/RIUP24/1063/JANARDAN ORGANICF/UBIN0565750 198000.00</t>
  </si>
  <si>
    <t>08-07-2024 NEFT/AXISP00516894069/RIUP24/1073/JANARDAN ORGANICF/UBIN0565750 297000.00</t>
  </si>
  <si>
    <t>08-07-2024 NEFT/AXISP00516894068/RIUP24/1072/JANARDAN ORGANICF/UBIN0565750 594000.00</t>
  </si>
  <si>
    <t>12-07-2024 NEFT/AXISP00518333916/RIUP24/1102/JANARDAN ORGANICF/UBIN0565750 495000.00</t>
  </si>
  <si>
    <t>12-07-2024 NEFT/AXISP00518333915/RIUP24/1101/JANARDAN ORGANICF/UBIN0565750 990000.00</t>
  </si>
  <si>
    <t>12-07-2024 NEFT/AXISP00518333917/RIUP24/1103/JANARDAN ORGANICF/UBIN0565750 495000.00</t>
  </si>
  <si>
    <t>.</t>
  </si>
  <si>
    <t xml:space="preserve">18-07-2024 NEFT/AXISP00519773562/RIUP24/1175/JANARDAN ORGANICF/UBIN0565750 495000.00
</t>
  </si>
  <si>
    <t>18-07-2024 NEFT/AXISP00519773563/RIUP24/1176/JANARDAN ORGANICF/UBIN0565750 495000.00</t>
  </si>
  <si>
    <t>18-07-2024 NEFT/AXISP00519773564/RIUP24/1177/JANARDAN ORGANICF/UBIN0565750 495000.00</t>
  </si>
  <si>
    <t>23-07-2024 NEFT/AXISP00520666315/RIUP24/1223/JANARDAN ORGANICF/UBIN0565750 495000.00</t>
  </si>
  <si>
    <t>20-07-2024 NEFT/AXISP00520156633/RIUP24/1222/JANARDAN ORGANICF/UBIN0565750 495000.00</t>
  </si>
  <si>
    <t>23-07-2024 NEFT/AXISP00520666316/RIUP24/1224/JANARDAN ORGANICF/UBIN0565750 495000.00</t>
  </si>
  <si>
    <t>20-07-2024 NEFT/AXISP00520156632/RIUP24/1221/JANARDAN ORGANICF/UBIN0565750 495000.00</t>
  </si>
  <si>
    <t>20-07-2024 NEFT/AXISP00520156631/RIUP24/1220/JANARDAN ORGANICF/UBIN0565750 495000.00</t>
  </si>
  <si>
    <t>12-07-2024 NEFT/AXISP00518333918/RIUP24/1104/JANARDAN ORGANICF/UBIN0565750 990000.00</t>
  </si>
  <si>
    <t>29-06-2024 NEFT/AXISP00513325155/RIUP24/0991/JANARDAN ORGANIC F/UBIN0565750 ₹ 4,95,000.00</t>
  </si>
  <si>
    <t>04-07-2024 NEFT/AXISP00515331793/RIUP24/1054/JANARDAN ORGANICF/UBIN0565750 495000.00</t>
  </si>
  <si>
    <t>26-06-2024 NEFT/AXISP00512047309/RIUP24/0979/JANARDAN ORGANICF/UBIN0565750 990000.00</t>
  </si>
  <si>
    <t>29-06-2024 NEFT/AXISP00513325156/RIUP24/0992/JANARDAN ORGANIC F/UBIN0565750 ₹ 9,90,000.00</t>
  </si>
  <si>
    <t>27-06-2024 NEFT/AXISP00512319348/RIUP24/0990/JANARDAN ORGANICF/UBIN0565750 990000.00</t>
  </si>
  <si>
    <t>19-07-2024 NEFT/AXISP00519907632/RIUP24/1191/JANARDAN ORGANICF/UBIN0565750 495000.00</t>
  </si>
  <si>
    <t>19-07-2024 NEFT/AXISP00519907631/RIUP24/1190/JANARDAN ORGANICF/UBIN0565750 495000.00</t>
  </si>
  <si>
    <t>19-07-2024 NEFT/AXISP00519907630/RIUP24/1189/JANARDAN ORGANICF/UBIN0565750 495000.00</t>
  </si>
  <si>
    <t>25-07-2024 NEFT/AXISP00521352652/RIUP24/1260/JANARDAN ORGANICF/UBIN0565750 396000.00</t>
  </si>
  <si>
    <t>25-07-2024 NEFT/AXISP00521352651/RIUP24/1259/JANARDAN ORGANICF/UBIN0565750 297000.00</t>
  </si>
  <si>
    <t>133, 15</t>
  </si>
  <si>
    <t>138, 18</t>
  </si>
  <si>
    <t>177, 45</t>
  </si>
  <si>
    <t>123, 9</t>
  </si>
  <si>
    <t>155, 36</t>
  </si>
  <si>
    <t>180, 46</t>
  </si>
  <si>
    <t>09-08-2024 NEFT/AXISP00527011518/RIUP24/1428/JANARDAN ORGANICF/UBIN0565750 495000.00</t>
  </si>
  <si>
    <t>09-08-2024 NEFT/AXISP00527011519/RIUP24/1429/JANARDAN ORGANICF/UBIN0565750 495000.00</t>
  </si>
  <si>
    <t>136, 13</t>
  </si>
  <si>
    <t>120, 4</t>
  </si>
  <si>
    <t>156, 37</t>
  </si>
  <si>
    <t>173, 42</t>
  </si>
  <si>
    <t>179, 43</t>
  </si>
  <si>
    <t>118, 6</t>
  </si>
  <si>
    <t>137, 19</t>
  </si>
  <si>
    <t>154, 33</t>
  </si>
  <si>
    <t>06-08-2024 NEFT/AXISP00525408584/RIUP24/1391/JANARDAN ORGANICF/UBIN0565750 495000.00</t>
  </si>
  <si>
    <t>06-08-2024 NEFT/AXISP00525408585/RIUP24/1389/JANARDAN ORGANICF/UBIN0565750 495000.00</t>
  </si>
  <si>
    <t>06-08-2024 NEFT/AXISP00525408586/RIUP24/1390/JANARDAN ORGANICF/UBIN0565750 495000.00</t>
  </si>
  <si>
    <t>148, 34</t>
  </si>
  <si>
    <t>178, 44</t>
  </si>
  <si>
    <t>119, 8</t>
  </si>
  <si>
    <t>149, 30</t>
  </si>
  <si>
    <t>122, 5</t>
  </si>
  <si>
    <t>174, 48</t>
  </si>
  <si>
    <t>128, 10</t>
  </si>
  <si>
    <t>121, 7</t>
  </si>
  <si>
    <t>151, 29</t>
  </si>
  <si>
    <t>132, 16</t>
  </si>
  <si>
    <t>135, 14</t>
  </si>
  <si>
    <t>150, 28</t>
  </si>
  <si>
    <t>134, 17</t>
  </si>
  <si>
    <t>139, 20</t>
  </si>
  <si>
    <t>153, 31</t>
  </si>
  <si>
    <t>152, 32</t>
  </si>
  <si>
    <t>147, 35</t>
  </si>
  <si>
    <t>176, 49</t>
  </si>
  <si>
    <t>175, 47</t>
  </si>
  <si>
    <t>14-08-2024 NEFT/AXISP00528230420/RIUP24/1435/JANARDAN ORGANIC F/UBIN0565750 495000.00</t>
  </si>
  <si>
    <t>14-08-2024 NEFT/AXISP00528230421/RIUP24/1436/JANARDAN ORGANIC F/UBIN0565750 990000.00</t>
  </si>
  <si>
    <t>14-08-2024 NEFT/AXISP00528230550/RIUP24/1430/JANARDAN ORGANIC F/UBIN0565750 1980000.00</t>
  </si>
  <si>
    <t>29-08-2024 NEFT/AXISP00533102970/RIUP24/1548/JANARDAN ORGANIC F/UBIN0565750 495000.00</t>
  </si>
  <si>
    <t>29-08-2024 NEFT/AXISP00533102967/RIUP24/1547/JANARDAN ORGANIC F/UBIN0565750 495000.00</t>
  </si>
  <si>
    <t>Approval on Whatsapp Dt.30-08-2024.
30-08-2024 NEFT/AXISP00533733867/RIUP24/1589/JANARDAN ORGANICF/UBIN0565750 495000.00</t>
  </si>
  <si>
    <t>03-09-2024 NEFT/AXISP00535722996/RIUP24/1612/JANARDAN ORGANICF/UBIN0565750 495000.00</t>
  </si>
  <si>
    <t>03-09-2024 NEFT/AXISP00535722992/RIUP24/1607/JANARDAN ORGANICF/UBIN0565750 297000.00</t>
  </si>
  <si>
    <t>04-09-2024 NEFT/AXISP00535970651/RIUP24/1606/JANARDAN ORGANIC F/UBIN0565750 ₹ 4,95,000.00</t>
  </si>
  <si>
    <t>04-09-2024 NEFT/AXISP00535970654/RIUP24/1588/JANARDAN ORGANIC F/UBIN0565750 ₹ 4,95,000.00</t>
  </si>
  <si>
    <t>10-09-2024 NEFT/AXISP00538521027/RIUP24/1711/JANARDAN ORGANICF/UBIN0565750 495000.00</t>
  </si>
  <si>
    <t>10-09-2024 NEFT/AXISP00538521028/RIUP24/1712/JANARDAN ORGANICF/UBIN0565750 990000.00</t>
  </si>
  <si>
    <t>10-09-2024 NEFT/AXISP00538521029/RIUP24/1713/JANARDAN ORGANICF/UBIN0565750 495000.00</t>
  </si>
  <si>
    <t>10-09-2024 NEFT/AXISP00538521030/RIUP24/1714/JANARDAN ORGANICF/UBIN0565750 495000.00</t>
  </si>
  <si>
    <t>10-09-2024 NEFT/AXISP00538521031/RIUP24/1715/JANARDAN ORGANICF/UBIN0565750 495000.00</t>
  </si>
  <si>
    <t>30-08-2024 NEFT/AXISP00533733868/RIUP24/1590/JANARDAN ORGANICF/UBIN0565750 495000.00</t>
  </si>
  <si>
    <t>10-09-2024 NEFT/AXISP00538795699/RIUP24/1745/JANARDAN ORGANICF/UBIN0565750 495000.00</t>
  </si>
  <si>
    <t>10-09-2024 NEFT/AXISP00538795700/RIUP24/1746/JANARDAN ORGANICF/UBIN0565750 495000.00</t>
  </si>
  <si>
    <t>10-09-2024 NEFT/AXISP00538795701/RIUP24/1747/JANARDAN ORGANICF/UBIN0565750 495000.00</t>
  </si>
  <si>
    <t>10-09-2024 NEFT/AXISP00538795702/RIUP24/1748/JANARDAN ORGANICF/UBIN0565750 990000.00</t>
  </si>
  <si>
    <t>10-09-2024 NEFT/AXISP00538795703/RIUP24/1749/JANARDAN ORGANICF/UBIN0565750 247500.00</t>
  </si>
  <si>
    <t>10-09-2024 NEFT/AXISP00538795704/RIUP24/1750/JANARDAN ORGANICF/UBIN0565750 247500.00</t>
  </si>
  <si>
    <t>13-09-2024 NEFT/AXISP00540477809/RIUP24/1771/JANARDAN ORGANICF/UBIN0565750 198000.00</t>
  </si>
  <si>
    <t>13-09-2024 NEFT/AXISP00540477806/RIUP24/1772/JANARDAN ORGANICF/UBIN0565750 198000.00</t>
  </si>
  <si>
    <t>13-09-2024 NEFT/AXISP00540477807/RIUP24/1773/JANARDAN ORGANICF/UBIN0565750 198000.00</t>
  </si>
  <si>
    <t>BALANCE OHT - NAGLA PITHORA  - BLOCK- BAGHRA - 350 KL 12 MTR</t>
  </si>
  <si>
    <t>17-09-2024 NEFT/AXISP00541269870/RIUP24/1812/JANARDAN ORGANICF/UBIN0565750 198000.00</t>
  </si>
  <si>
    <t>17-09-2024 NEFT/AXISP00541269868/RIUP24/1813/JANARDAN ORGANICF/UBIN0565750 297000.00</t>
  </si>
  <si>
    <t>19-09-2024 NEFT/AXISP00542202588/RIUP24/1857/JANARDAN ORGANICF/UBIN0565750 198000.00</t>
  </si>
  <si>
    <t>BOQ Amount</t>
  </si>
  <si>
    <t>Amount with TDS</t>
  </si>
  <si>
    <t>Balance aagainst BOQ</t>
  </si>
  <si>
    <t>20-09-2024 NEFT/AXISP00542641367/RIUP24/1879/JANARDAN ORGANICF/UBIN0565750 495000.00</t>
  </si>
  <si>
    <t>20-09-2024 NEFT/AXISP00542641369/RIUP24/1881/JANARDAN ORGANICF/UBIN0565750 297000.00</t>
  </si>
  <si>
    <t>20-09-2024 NEFT/AXISP00542641370/RIUP24/1882/JANARDAN ORGANICF/UBIN0565750 297000.00</t>
  </si>
  <si>
    <t>21-09-2024 NEFT/AXISP00542940978/RIUP24/1896/JANARDAN ORGANICF/UBIN0565750 297000.00</t>
  </si>
  <si>
    <t>24-09-2024 NEFT/AXISP00543503642/RIUP24/1909/JANARDAN ORGANICF/UBIN0565750 297000.00</t>
  </si>
  <si>
    <t>JANARDAN ORGANIC FOOD MILLS</t>
  </si>
  <si>
    <t>MUZAFFARNAFGAR</t>
  </si>
  <si>
    <t>20-09-2024 NEFT/AXISP00542641368/RIUP24/1880/JANARDAN ORGANICF/UBIN0565750 495000.00</t>
  </si>
  <si>
    <t>GST</t>
  </si>
  <si>
    <t>27-09-2024 NEFT/AXISP00545226909/RIUP24/1960/JANARDAN ORGANICF/UBIN0565750 297000.00</t>
  </si>
  <si>
    <t>70, 217, 219</t>
  </si>
  <si>
    <t>240, 249</t>
  </si>
  <si>
    <t>27-09-2024 NEFT/AXISP00545226907/RIUP24/1958/JANARDAN ORGANIC F/UBIN0565750 198000.00</t>
  </si>
  <si>
    <t>106 , 248</t>
  </si>
  <si>
    <t>30-09-2024 NEFT/AXISP00546297644/RIUP24/2008/JANARDAN ORGANICF/UBIN0565750 297000.00</t>
  </si>
  <si>
    <t>30-09-2024 NEFT/AXISP00546297643/RIUP24/2007/JANARDAN ORGANICF/UBIN0565750 396000.00</t>
  </si>
  <si>
    <t>30-09-2024 NEFT/AXISP00546297619/RIUP24/2005/JANARDAN ORGANICF/UBIN0565750 396000.00</t>
  </si>
  <si>
    <t>30-09-2024 NEFT/AXISP00546297618/RIUP24/2004/JANARDAN ORGANICF/UBIN0565750 396000.00</t>
  </si>
  <si>
    <t>30-09-2024 NEFT/AXISP00546297617/RIUP24/2003/JANARDAN ORGANICF/UBIN0565750 297000.00</t>
  </si>
  <si>
    <t>30-09-2024 NEFT/AXISP00546297616/RIUP24/2002/JANARDAN ORGANICF/UBIN0565750 198000.00</t>
  </si>
  <si>
    <t>105 , 247</t>
  </si>
  <si>
    <t>14 , 28</t>
  </si>
  <si>
    <t>01-10-2024 NEFT/AXISP00547359345/RIUP24/2023/JANARDAN ORGANICF/UBIN0565750 495000.00</t>
  </si>
  <si>
    <t>01-10-2024 NEFT/AXISP00547359344/RIUP24/2022/JANARDAN ORGANICF/UBIN0565750 198000.00</t>
  </si>
  <si>
    <t>01-10-2024 NEFT/AXISP00547359343/RIUP24/2021/JANARDAN ORGANICF/UBIN0565750 396000.00</t>
  </si>
  <si>
    <t>16, 28, 212, 112, 56</t>
  </si>
  <si>
    <t>16, 26, 29, 15,18,45</t>
  </si>
  <si>
    <t>1,15,34,27</t>
  </si>
  <si>
    <t>18, 189, 195</t>
  </si>
  <si>
    <t>247, 4,37, 42, 43</t>
  </si>
  <si>
    <t>17, 24, 197, 227</t>
  </si>
  <si>
    <t>10, 48</t>
  </si>
  <si>
    <t>30-09-2024 NEFT/AXISP00546297645/RIUP24/2009/JANARDAN ORGANICF/UBIN0565750 297000.00</t>
  </si>
  <si>
    <t>Seemli - 150 - 12</t>
  </si>
  <si>
    <t>BUDHAKHEDA - 150 -12</t>
  </si>
  <si>
    <t>03-10-2024 NEFT/AXISP00548259338/RIUP24/2093/JANARDAN ORGANICF/UBIN0565750 396000.00</t>
  </si>
  <si>
    <t>03-10-2024 NEFT/AXISP00548259340/RIUP24/2091/JANARDAN ORGANICF/UBIN0565750 495000.00</t>
  </si>
  <si>
    <t>04-10-2024 NEFT/AXISP00548955246/RIUP24/2118/JANARDAN ORGANICF/UBIN0565750 495000.00</t>
  </si>
  <si>
    <t>04-10-2024 NEFT/AXISP00548955248/RIUP24/2119/JANARDAN ORGANICF/UBIN0565750 495000.00</t>
  </si>
  <si>
    <t>04-10-2024 NEFT/AXISP00548955250/RIUP24/2120/JANARDAN ORGANICF/UBIN0565750 495000.00</t>
  </si>
  <si>
    <t>08-10-2024 NEFT/AXISP00550932180/RIUP24/2141/JANARDAN ORGANICF/UBIN0565750 495000.00</t>
  </si>
  <si>
    <t>09-10-2024 NEFT/AXISP00550990024/RIUP24/2140/JANARDAN ORGANICF/UBIN0565750 297000.00</t>
  </si>
  <si>
    <t>03-10-2024 NEFT/AXISP00548259339/RIUP24/2092/JANARDAN ORGANICF/UBIN0565750 297000.00</t>
  </si>
  <si>
    <t>09-10-2024 NEFT/AXISP00550990026/RIUP24/2139/JANARDAN ORGANICF/UBIN0565750 297000.00</t>
  </si>
  <si>
    <t>09-10-2024 NEFT/AXISP00550990028/RIUP24/2138/JANARDAN ORGANICF/UBIN0565750 198000.00</t>
  </si>
  <si>
    <t>09-10-2024 NEFT/AXISP00550990022/RIUP24/2137/JANARDAN ORGANICF/UBIN0565750 495000.00</t>
  </si>
  <si>
    <t>11-10-2024 NEFT/AXISP00552724057/RIUP24/2189/JANARDAN ORGANIC F/UBIN0565750 198000.00</t>
  </si>
  <si>
    <t>11-10-2024 NEFT/AXISP00552724056/RIUP24/2188/JANARDAN ORGANIC F/UBIN0565750 198000.0</t>
  </si>
  <si>
    <t>17-10-2024 NEFT/AXISP00554849808/RIUP24/2224/JANARDAN ORGANICF/UBIN0565750 297000.00</t>
  </si>
  <si>
    <t>15, 25, 40, 214, 235</t>
  </si>
  <si>
    <t>21-10-2024 NEFT/AXISP00556268907/RIUP24/2266/JANARDAN ORGANICF/UBIN0565750 396000.00</t>
  </si>
  <si>
    <t>27-09-2024 NEFT/AXISP00545226908/RIUP24/1959/JANARDAN ORGANICF/UBIN0565750 297000.00</t>
  </si>
  <si>
    <t>21-10-2024 NEFT/AXISP00556268906/RIUP24/2265/JANARDAN ORGANICF/UBIN0565750 297000.00</t>
  </si>
  <si>
    <t>21-10-2024 NEFT/AXISP00556268905/RIUP24/2262/JANARDAN ORGANICF/UBIN0565750 297000.00</t>
  </si>
  <si>
    <t>23-10-2024 NEFT/AXISP00557269340/RIUP24/2264/JANARDAN ORGANICF/UBIN0565750 198000.00</t>
  </si>
  <si>
    <t>23-10-2024 NEFT/AXISP00557269339/RIUP24/2263/JANARDAN ORGANICF/UBIN0565750 297000.00</t>
  </si>
  <si>
    <t>25-10-2024 NEFT/AXISP00558746788/RIUP24/2308/JANARDAN ORGANIC F/UBIN0565750 495000.00</t>
  </si>
  <si>
    <t>28-10-2024 NEFT/AXISP00559635495/RIUP24/2285/JANARDAN ORGANICF/UBIN0565750 297000.00</t>
  </si>
  <si>
    <t>25-10-2024 NEFT/AXISP00558746786/RIUP24/2309/JANARDAN ORGANICF/UBIN0565750 495000.00</t>
  </si>
  <si>
    <t>28-10-2024 NEFT/AXISP00559635496/RIUP24/2284/JANARDAN ORGANICF/UBIN0565750 198000.00</t>
  </si>
  <si>
    <t>29-10-2024 NEFT/AXISP00560462656/RIUP24/2312/JANARDAN ORGANICF/UBIN0565750 495000.00</t>
  </si>
  <si>
    <t>29-10-2024 NEFT/AXISP00560462657/RIUP24/2311/JANARDAN ORGANICF/UBIN0565750 495000.00</t>
  </si>
  <si>
    <t>29-10-2024 NEFT/AXISP00560462658/RIUP24/2310/JANARDAN ORGANICF/UBIN0565750 495000.00</t>
  </si>
  <si>
    <t>30-10-2024 NEFT/AXISP00561828558/RIUPP24/2384/JANARDAN ORGANICF/UBIN0565750 495000.00</t>
  </si>
  <si>
    <t>30-09-2024 NEFT/AXISP00546297620/RIUP24/2006/JANARDAN ORGANICF/UBIN0565750 297000.00</t>
  </si>
  <si>
    <t>11-10-2024 NEFT/AXISP00552724058/RIUP24/2190/JANARDAN ORGANIC F/UBIN0565750 297000.00</t>
  </si>
  <si>
    <t>30-10-2024 NEFT/AXISP00561761652/RIUP24/2334/JANARDAN ORGANICF/UBIN0565750 495000.00</t>
  </si>
  <si>
    <t>30-10-2024 NEFT/AXISP00561761653/RIUP24/2333/JANARDAN ORGANICF/UBIN0565750 495000.00</t>
  </si>
  <si>
    <t>30-10-2024 NEFT/AXISP00561761654/RIUP24/2332/JANARDAN ORGANICF/UBIN0565750 495000.00</t>
  </si>
  <si>
    <t>30-10-2024 NEFT/AXISP00561761655/RIUP24/2331/JANARDAN ORGANICF/UBIN0565750 495000.00</t>
  </si>
  <si>
    <t>08-11-2024 NEFT/AXISP00566779426/RIUP24/2438/JANARDAN ORGANIC F/UBIN0565750 ₹ 2,97,000.00</t>
  </si>
  <si>
    <t>08-11-2024 NEFT/AXISP00566779425/RIUP24/2437/JANARDAN ORGANIC F/UBIN0565750 ₹ 1,98,000.00</t>
  </si>
  <si>
    <t>12-11-2024 NEFT/AXISP00568034788/RIUP24/2435/JANARDAN ORGANICF/UBIN0565750 396000.00</t>
  </si>
  <si>
    <t>12-11-2024 NEFT/AXISP00568034789/RIUP24/2436/JANARDAN ORGANICF/UBIN0565750 198000.00</t>
  </si>
  <si>
    <t>14-11-2024 NEFT/AXISP00569726733/RIUP24/2449/JANARDAN ORGANICF/UBIN0565750 396000.00</t>
  </si>
  <si>
    <t>14-11-2024 NEFT/AXISP00569726732/RIUP24/2448/JANARDAN ORGANICF/UBIN0565750 198000.00</t>
  </si>
  <si>
    <t>29-11-2024 NEFT/AXISP00576725433/RIUP24/2450/JANARDAN ORGANIC F/UBIN0565750 396000.00</t>
  </si>
  <si>
    <t>30-11-2024 NEFT/AXISP00577383121/RIUP24/2581/JANARDAN ORGANIC F/UBIN0565750 495000.00</t>
  </si>
  <si>
    <t>30-11-2024 NEFT/AXISP00577383120/RIUP24/2580/JANARDAN ORGANIC F/UBIN0565750 495000.00</t>
  </si>
  <si>
    <t>30-11-2024 NEFT/AXISP00577383119/RIUP24/2579/JANARDAN ORGANIC F/UBIN0565750 495000.00</t>
  </si>
  <si>
    <t>30-11-2024 NEFT/AXISP00577383118/RIUP24/2578/JANARDAN ORGANIC F/UBIN0565750 495000.00</t>
  </si>
  <si>
    <t>15 A, 12, 26, 190, 193</t>
  </si>
  <si>
    <t>234, 34, 44,69</t>
  </si>
  <si>
    <t>18 , 196, 6 &amp; 58</t>
  </si>
  <si>
    <t>184, 200, 220, 9, 36, 46 &amp; 67</t>
  </si>
  <si>
    <t>11,21, 32, 209, 246,124 &amp; 68</t>
  </si>
  <si>
    <t>12, 22, 30, 42, 211 &amp; 64</t>
  </si>
  <si>
    <t>14, 24, 14, 13, 19, 30 &amp; 71</t>
  </si>
  <si>
    <t>194, 215, 223,233 &amp; 63</t>
  </si>
  <si>
    <t>219, 239, 182  &amp; 73</t>
  </si>
  <si>
    <t>17, 192 , 236, 237, 13 &amp; 54</t>
  </si>
  <si>
    <t>216 , 226 &amp; 75</t>
  </si>
  <si>
    <t>253,30, 72</t>
  </si>
  <si>
    <t>7, 29 &amp; 53</t>
  </si>
  <si>
    <t>244,  126, 62</t>
  </si>
  <si>
    <t>16, 181</t>
  </si>
  <si>
    <t>10-12-2024 NEFT/AXISP00582505835/RIUP24/2635/JANARDAN ORGANICF/UBIN0565750 396000.00</t>
  </si>
  <si>
    <t>10-12-2024 NEFT/AXISP00582505819/RIUP24/2636/JANARDAN ORGANICF/UBIN0565750 396000.00</t>
  </si>
  <si>
    <t>11-12-2024 RTGS/UTIBR72024121100421939/RIUP24/2637/JANARDAN ORGANIC F/UBIN0565750 396000.00</t>
  </si>
  <si>
    <t>11-12-2024 RTGS/UTIBR72024121100421938/RIUP24/2659/JANARDAN ORGANIC F/UBIN0565750 247500.00</t>
  </si>
  <si>
    <t>13-12-2024 NEFT/AXISP00584405687/RIUP24/2660/JANARDAN ORGANIC F/UBIN0565750 495000.00</t>
  </si>
  <si>
    <t>CONSTRUCTION OF 250 KL 12 MTR STAGING  OHT WORK   AT VILLAGE SOHJANI TAGAN BLOCK SHAHPUR</t>
  </si>
  <si>
    <t xml:space="preserve"> CONSTRUCTION OF 100 KL 12 MTR STAGING  OHT WORK   AT VILLAGE KUTBI BLOCK BAGHRA</t>
  </si>
  <si>
    <t>CONSTRUCTION OF 150 KL 12 MTR STAGING  OHT WORK   AT VILLAGE LALUKHERI BLOCK BAGHRA</t>
  </si>
  <si>
    <t>New Bill</t>
  </si>
  <si>
    <t>16-12-2024 NEFT/AXISP00584980142/RIUP24/2671/JANARDAN ORGANICF/UBIN0565750 297000.00</t>
  </si>
  <si>
    <t>16-12-2024 NEFT/AXISP00584980143/RIUP24/2672/JANARDAN ORGANICF/UBIN0565750 297000.00</t>
  </si>
  <si>
    <t>20-12-2024 NEFT/AXISP00587058626/RIUP24/2719/JANARDAN ORGANICF/UBIN0565750 495000.00</t>
  </si>
  <si>
    <t>23-12-2024 NEFT/AXISP00587800975/RIUP24/2673/JANARDAN ORGANICF/UBIN0565750 297000.00</t>
  </si>
  <si>
    <t>24-12-2024 NEFT/AXISP00588266381/RIUP24/2795/JANARDAN ORGANIC F/UBIN0565750 - ₹ 9,90,000.00</t>
  </si>
  <si>
    <t>27-12-2024 NEFT/AXISP00589232249/RIUP24/2753/JANARDAN ORGANICF/UBIN0565750 495000.00</t>
  </si>
  <si>
    <t>30-12-2024 Debit N/RIUP24/2754/JANARDAN ORGAN/INDBN30124223065 495000.0</t>
  </si>
  <si>
    <t>29-03-2024 NEFT/AXISP00485733266/RIUP23/5308/JANARDAN ORGANIC F/UBIN0565750 198000.00</t>
  </si>
  <si>
    <t>11-06-2024-YESIG41630165285-UBIN0565750-JANARDAN ORGANIC FOOD MILL-RIUP24/0835 495000.00</t>
  </si>
  <si>
    <t>04-09-2024 NEFT/AXISP00535970649/RIUP24/1605/JANARDAN ORGANIC F/UBIN0565750 495000.00</t>
  </si>
  <si>
    <t>31-12-2024 NEFT/AXISP00590421923/RIUP24/2755/JANARDAN ORGANICF/UBIN0565750 495000.00</t>
  </si>
  <si>
    <t>31-12-2024 NEFT/AXISP00591007088/RIUP24/2797/JANARDAN ORGANICF/UBIN0565750 495000.00</t>
  </si>
  <si>
    <t>31-12-2024 NEFT/AXISP00591007087/RIUP24/2796/JANARDAN ORGANICF/UBIN0565750 495000.00</t>
  </si>
  <si>
    <t>03-01-2025 NEFT/AXISP00593049748/RIUP24/2816/JANARDAN ORGANICF/UBIN0565750 495000.00</t>
  </si>
  <si>
    <t>10-01-2025 NEFT/AXISP00597065230/RIUP24/2837/JANARDAN ORGANICF/UBIN0565750 495000.00</t>
  </si>
  <si>
    <t>10-01-2025 NEFT/AXISP00597065229/RIUP24/2818/JANARDAN ORGANICF/UBIN0565750 495000.00</t>
  </si>
  <si>
    <t>10-01-2025 NEFT/AXISP00597065228/RIUP24/2817/JANARDAN ORGANICF/UBIN0565750 495000.00</t>
  </si>
  <si>
    <t>10-01-2025 NEFT/AXISP00597065231/RIUP24/2838/JANARDAN ORGANICF/UBIN0565750 495000.00</t>
  </si>
  <si>
    <t>14-01-2025 NEFT/AXISP00598257764/RIUP24/2866/JANARDAN ORGANICF/UBIN0565750 495000.00</t>
  </si>
  <si>
    <t>14-01-2025 NEFT/AXISP00598257765/RIUP24/2865/JANARDAN ORGANICF/UBIN0565750 495000.00</t>
  </si>
  <si>
    <t>16-01-2025 NEFT/AXISP00599110481/RIUP24/2940/JANARDAN ORGANICF/UBIN0565750 495000.00</t>
  </si>
  <si>
    <t>16-01-2025 NEFT/AXISP00599110480/RIUP24/2939/JANARDAN ORGANICF/UBIN0565750 495000.00</t>
  </si>
  <si>
    <t>18-01-2025 NEFT/AXISP00600078716/RIUP24/2954/JANARDAN ORGANICF/UBIN0565750 297000.00</t>
  </si>
  <si>
    <t>18-01-2025 NEFT/AXISP00600078715/RIUP24/2953/JANARDAN ORGANICF/UBIN0565750 396000.00</t>
  </si>
  <si>
    <t>18-01-2025 NEFT/AXISP00600078714/RIUP24/2952/JANARDAN ORGANICF/UBIN0565750 396000.00</t>
  </si>
  <si>
    <t>18-01-2025 NEFT/AXISP00600078713/RIUP24/2941/JANARDAN ORGANICF/UBIN0565750 396000.00</t>
  </si>
  <si>
    <t>24-01-2025 NEFT/AXISP00603008558/RIUP24/2990/JANARDAN ORGANIC F/UBIN0565750 198000.00</t>
  </si>
  <si>
    <t>24-01-2025 NEFT/AXISP00603008555/RIUP24/2989/JANARDAN ORGANIC F/UBIN0565750 396000.00</t>
  </si>
  <si>
    <t>27-01-2025 NEFT/AXISP00603731162/RIUP24/3057/JANARDAN ORGANICF/UBIN0565750 396000.00</t>
  </si>
  <si>
    <t>27-01-2025 NEFT/AXISP00603731161/RIUP24/2988/JANARDAN ORGANICF/UBIN0565750 396000.00</t>
  </si>
  <si>
    <t>31-01-2025 NEFT/AXISP00607054923/RIUP24/3043/JANARDAN ORGANICF/UBIN0565750 297000.00</t>
  </si>
  <si>
    <t>01-02-2025 NEFT/AXISP00607246309/RIUP24/3039/JANARDAN ORGANICF/UBIN0565750 198000.00</t>
  </si>
  <si>
    <t>01-02-2025 NEFT/AXISP00607246310/RIUP24/3040/JANARDAN ORGANICF/UBIN0565750 198000.00</t>
  </si>
  <si>
    <t>03-02-2025 NEFT/AXISP00609353056/RIUP24/3078/JANARDAN ORGANICF/UBIN0565750 198000.00</t>
  </si>
  <si>
    <t>03-02-2025 NEFT/AXISP00609353053/RIUP24/3042/JANARDAN ORGANICF/UBIN0565750 198000.00</t>
  </si>
  <si>
    <t>Janardhan Organic Food Mill MZN</t>
  </si>
  <si>
    <t>04-02-2025 NEFT/AXISP00610028539/RIUP24/3067/JANARDAN ORGANICF/UBIN0565750 99000.00</t>
  </si>
  <si>
    <t>04-02-2025 NEFT/AXISP00610028543/RIUP24/3071/JANARDAN ORGANICF/UBIN0565750 99000.00</t>
  </si>
  <si>
    <t>04-02-2025 NEFT/AXISP00610028542/RIUP24/3070/JANARDAN ORGANICF/UBIN0565750 99000.00</t>
  </si>
  <si>
    <t>04-02-2025 NEFT/AXISP00610028541/RIUP24/3069/JANARDAN ORGANICF/UBIN0565750 99000.00</t>
  </si>
  <si>
    <t>04-02-2025 NEFT/AXISP00610028540/RIUP24/3068/JANARDAN ORGANICF/UBIN0565750 99000.00</t>
  </si>
  <si>
    <t>06-02-2025 NEFT/AXISP00611646443/RIUP24/3113/JANARDAN ORGANICF/UBIN0565750 297000.00</t>
  </si>
  <si>
    <t>06-02-2025 NEFT/AXISP00611646441/RIUP24/3112/JANARDAN ORGANICF/UBIN0565750 297000.00</t>
  </si>
  <si>
    <t>06-02-2025 NEFT/AXISP00611646439/RIUP24/3111/JANARDAN ORGANICF/UBIN0565750 198000.00</t>
  </si>
  <si>
    <t>03-02-2025 NEFT/AXISP00609353052/RIUP24/3041/JANARDAN ORGANICF/UBIN0565750 198000.00</t>
  </si>
  <si>
    <t>07-02-2025 NEFT/AXISP00612564994/RIUP24/3135/JANARDAN ORGANIC F/UBIN0565750 297000.00</t>
  </si>
  <si>
    <t>07-02-2025 NEFT/AXISP00612564992/RIUP24/3134/JANARDAN ORGANICF/UBIN0565750 297000.00</t>
  </si>
  <si>
    <t>07-02-2025 NEFT/AXISP00612564990/RIUP24/3133/JANARDAN ORGANICF/UBIN0565750 198000.00</t>
  </si>
  <si>
    <t>11-02-2025 NEFT/AXISP00614452343/RIUP24/3116/JANARDAN ORGANICF/UBIN0565750 396000.00</t>
  </si>
  <si>
    <t>11-02-2025 NEFT/AXISP00614452342/RIUP24/3115/JANARDAN ORGANICF/UBIN0565750 396000.00</t>
  </si>
  <si>
    <t>11-02-2025 NEFT/AXISP00614452341/RIUP24/3114/JANARDAN ORGANICF/UBIN0565750 297000.00</t>
  </si>
  <si>
    <t>15-02-2025 NEFT/AXISP00616936485/RIUP24/3147/JANARDAN ORGANIC F/UBIN0565750 74250.00</t>
  </si>
  <si>
    <t>15-02-2025 NEFT/AXISP00616936484/RIUP24/3146/JANARDAN ORGANIC F/UBIN0565750 74250.00</t>
  </si>
  <si>
    <t>15-02-2025 NEFT/AXISP00616936483/RIUP24/3145/JANARDAN ORGANIC F/UBIN0565750 49500.00</t>
  </si>
  <si>
    <t>15-02-2025 NEFT/AXISP00616936482/RIUP24/3138/JANARDAN ORGANIC F/UBIN0565750 297000.00</t>
  </si>
  <si>
    <t>15-02-2025 NEFT/AXISP00616936481/RIUP24/3137/JANARDAN ORGANIC F/UBIN0565750 297000.00</t>
  </si>
  <si>
    <t>15-02-2025 NEFT/AXISP00616936480/RIUP24/3136/JANARDAN ORGANIC F/UBIN0565750 297000.00</t>
  </si>
  <si>
    <t>20-02-2025 NEFT/AXISP00619694063/RIUP24/3148/JANARDAN ORGANIC F/UBIN0565750 ₹ 3,96,000.00</t>
  </si>
  <si>
    <t>20-02-2025 NEFT/AXISP00619694064/RIUP24/3149/JANARDAN ORGANIC F/UBIN0565750 ₹ 3,96,000.00</t>
  </si>
  <si>
    <t>GST Remaining</t>
  </si>
  <si>
    <t>13, 23, 31, 210, 224 &amp; 238</t>
  </si>
  <si>
    <t xml:space="preserve">Bill Not Checked </t>
  </si>
  <si>
    <t>BALANCE WORK OF150 KL12MTR STAGING OHT WORK VILL- CHHAMU CHARTHAWAL</t>
  </si>
  <si>
    <t>Current Bills</t>
  </si>
  <si>
    <t>Current Bills with Deduction</t>
  </si>
  <si>
    <t>T.I-127 not booked</t>
  </si>
  <si>
    <t xml:space="preserve">Bill not Checked </t>
  </si>
  <si>
    <t xml:space="preserve">75KL  12MTR STAGING OHT WORK VILL- TANDA BLOCK-CHARTHAWAL </t>
  </si>
  <si>
    <t>BALANCE WORK OF 300 KL12MTR STAGING OHT WORK VILL- PAWTI KHURD BLOCK-CHARTHAWAL</t>
  </si>
  <si>
    <t>BALANCE WORK OF 150 KL18MTR STAGING OHT WORK VILL- ATALI  BLOCK-BAGHRA</t>
  </si>
  <si>
    <t>BALANCE WORK OF 150 KL12MTR STAGING OHT WORK VILL- ALIPUR KHURD BLOCK-BAGHRA</t>
  </si>
  <si>
    <t>BALANCE WORK OF 225 KL16 MTR STAGING OHT WORK VILL- SADPUR BLOCK-CHARTHAWAL</t>
  </si>
  <si>
    <t>BALANCE WORK OF 375 KL16MTR STAGING OHT WORK VILL- KASOLI BLOCK-CHARTHAWAL</t>
  </si>
  <si>
    <t>BALANCE WORK OF 200 KL16MTR STAGING OHT WORK VILL- SIKANDERPUR BLOCK-CHARTHAWAL</t>
  </si>
  <si>
    <t>29-03-2025 RTGS/UTIBR72025032900422432/RIUP24/3510/JANARDAN ORGANIC F/UBIN0565750 500000.00</t>
  </si>
  <si>
    <t>29-03-2025 RTGS/UTIBR72025032900422433/RIUP24/3511/JANARDAN ORGANIC F/UBIN0565750 500000.00</t>
  </si>
  <si>
    <t>29-03-2025 RTGS/UTIBR72025032900422434/RIUP24/3512/JANARDAN ORGANIC F/UBIN0565750 500000.00</t>
  </si>
  <si>
    <t>02-04-2025 NEFT/AXISP00644889266/RIUP25/0008/JANARDAN ORGANICF/UBIN0565750 500000.00</t>
  </si>
  <si>
    <t>02-04-2025 NEFT/AXISP00644889265/RIUP25/0007/JANARDAN ORGANICF/UBIN0565750 750000.00</t>
  </si>
  <si>
    <t>02-04-2025 NEFT/AXISP00644889264/RIUP25/0006/JANARDAN ORGANICF/UBIN0565750 750000.00</t>
  </si>
  <si>
    <t>05-04-2025 NEFT/AXISP00647054535/RIUP25/0019/JANARDAN ORGANICF/UBIN0565750 200000.00</t>
  </si>
  <si>
    <t>05-04-2025 NEFT/AXISP00647054534/RIUP25/0018/JANARDAN ORGANICF/UBIN0565750 197950.00</t>
  </si>
  <si>
    <t>05-04-2025 NEFT/AXISP00647054533/RIUP25/0017/JANARDAN ORGANICF/UBIN0565750 200000.00</t>
  </si>
  <si>
    <t>05-04-2025 NEFT/AXISP00647054532/RIUP25/0016/JANARDAN ORGANICF/UBIN0565750 800000.00</t>
  </si>
  <si>
    <t>08-04-2025 NEFT/AXISP00648369678/RIUP25/0020/JANARDAN ORGANICF/UBIN0565750 300000.00</t>
  </si>
  <si>
    <t>11-04-2025 NEFT/AXISP00650161707/RIUP25/0077/JANARDAN ORGANICF/UBIN0565750 693000.00</t>
  </si>
  <si>
    <t>17-04-2025 NEFT/AXISP00652667935/RIUP25/0129/JANARDAN ORGANICF/UBIN0565750 495000.00</t>
  </si>
  <si>
    <t>17-04-2025 NEFT/AXISP00652667931/RIUP25/0128/JANARDAN ORGANICF/UBIN0565750 495000.00</t>
  </si>
  <si>
    <t>17-04-2025 NEFT/AXISP00652667927/RIUP25/0127/JANARDAN ORGANICF/UBIN0565750 495000.00</t>
  </si>
  <si>
    <t>17-04-2025 NEFT/AXISP00652667939/RIUP25/0130/JANARDAN ORGANICF/UBIN0565750 495000.00</t>
  </si>
  <si>
    <t>17-05-2025 NEFT/AXISP00667054495/RIUP25/0288/JANARDAN ORGANICF/UBIN0565750 990000.00</t>
  </si>
  <si>
    <t>17-05-2025 NEFT/AXISP00667054494/RIUP25/0287/JANARDAN ORGANICF/UBIN0565750 990000.00</t>
  </si>
  <si>
    <t>17-05-2025 NEFT/AXISP00667054493/RIUP25/0286/JANARDAN ORGANICF/UBIN0565750 495000.00</t>
  </si>
  <si>
    <t>20-05-2025 NEFT/AXISP00667913271/RIUP25/0293/JANARDAN ORGANICF/UBIN0565750 495000.00</t>
  </si>
  <si>
    <t>20-05-2025 NEFT/AXISP00667913270/RIUP25/0292/JANARDAN ORGANICF/UBIN0565750 990000.00</t>
  </si>
  <si>
    <t>22-05-2025 NEFT/AXISP00668858774/RIUP25/0299/JANARDAN ORGANIC F/UBIN0565750 495000.00</t>
  </si>
  <si>
    <t>27-09-2024 NEFT/AXISP00545226910/RIUP24/1961/JANARDAN ORGANICF/UBIN0565750 297000.00</t>
  </si>
  <si>
    <t>37,28</t>
  </si>
  <si>
    <t>30,25</t>
  </si>
  <si>
    <t>25,21</t>
  </si>
  <si>
    <t>Credit note</t>
  </si>
  <si>
    <t>31-07-2024 NEFT/AXISP00522966392/RIUP24/1301/JANARDAN ORGANIC F/UBIN0565750 198000.00</t>
  </si>
  <si>
    <t>31-05-2025 NEFT/AXISP00672362796/RIUP25/0374/JANARDAN ORGANICF/UBIN0565750 495000.00</t>
  </si>
  <si>
    <t>31-05-2025 NEFT/AXISP00672362797/RIUP25/0375/JANARDAN ORGANICF/UBIN0565750 297000.00</t>
  </si>
  <si>
    <t>31-05-2025 NEFT/AXISP00672362798/RIUP25/0376/JANARDAN ORGANICF/UBIN0565750 891000.00</t>
  </si>
  <si>
    <t>31-05-2025 NEFT/AXISP00672362799/RIUP25/0377/JANARDAN ORGANICF/UBIN0565750 297000.00</t>
  </si>
  <si>
    <t>27-06-2023 NEFT/AXISP00401137696/RIUP23/919/JANARDAN ORGANIC 198000.00</t>
  </si>
  <si>
    <t>26,22</t>
  </si>
  <si>
    <t>40,31</t>
  </si>
  <si>
    <t>27-09-2024 NEFT/AXISP00544997304/RIUP24/1956/JANARDAN ORGANICF/UBIN0565750 198000.00</t>
  </si>
  <si>
    <t>186, 198, 72, 125, 19,,172 &amp; 61</t>
  </si>
  <si>
    <t>21, 25, 199, 77,218,191,33, 183</t>
  </si>
  <si>
    <t>222, 252 &amp; 57</t>
  </si>
  <si>
    <t>31-07-2024 NEFT/AXISP00522966393/RIUP24/1302/JANARDAN ORGANICF/UBIN0565750 198000.00</t>
  </si>
  <si>
    <t>S.NO.</t>
  </si>
  <si>
    <t>BLOCK</t>
  </si>
  <si>
    <t>VILLAGE</t>
  </si>
  <si>
    <t>OHT CAPACITY</t>
  </si>
  <si>
    <t xml:space="preserve"> CHARTHAWAL</t>
  </si>
  <si>
    <t>AKBARGARH</t>
  </si>
  <si>
    <t>150KL/12MTR</t>
  </si>
  <si>
    <t>AKHLOR</t>
  </si>
  <si>
    <t>225KL/12MTR</t>
  </si>
  <si>
    <t xml:space="preserve"> BAGHRA</t>
  </si>
  <si>
    <t>ALIPUR KHURD</t>
  </si>
  <si>
    <t>ATALI</t>
  </si>
  <si>
    <t>150KL/18MTR</t>
  </si>
  <si>
    <t>BADH</t>
  </si>
  <si>
    <t>BADHAI KALAN</t>
  </si>
  <si>
    <t>200KL/12MTR</t>
  </si>
  <si>
    <t>BADHAI KHURD</t>
  </si>
  <si>
    <t>SADAR</t>
  </si>
  <si>
    <t>BADHERI</t>
  </si>
  <si>
    <t>250KL/16MTR</t>
  </si>
  <si>
    <t>PURKAZI</t>
  </si>
  <si>
    <t>175KL/12MTR</t>
  </si>
  <si>
    <t>BADKALI</t>
  </si>
  <si>
    <t>250KL/12MTR</t>
  </si>
  <si>
    <t>BEHERI</t>
  </si>
  <si>
    <t>250KL/14MTR</t>
  </si>
  <si>
    <t>350KL/14MTR</t>
  </si>
  <si>
    <t>BHAISANI</t>
  </si>
  <si>
    <t>BHAMELA</t>
  </si>
  <si>
    <t>125KL/12MTR</t>
  </si>
  <si>
    <t>BHIKKI</t>
  </si>
  <si>
    <t>100KL/14MTR</t>
  </si>
  <si>
    <t>BIBIPUR</t>
  </si>
  <si>
    <t>BIHARI</t>
  </si>
  <si>
    <t>400KL/16MTR</t>
  </si>
  <si>
    <t>BUDHAKHERA</t>
  </si>
  <si>
    <t>CHHMAU</t>
  </si>
  <si>
    <t>DATYANA</t>
  </si>
  <si>
    <t>500KL/14MTR</t>
  </si>
  <si>
    <t>DHOLARI</t>
  </si>
  <si>
    <t>FALODA</t>
  </si>
  <si>
    <t>300KL/12MTR</t>
  </si>
  <si>
    <t>GARHI DURGANPUR</t>
  </si>
  <si>
    <t>GUJARHERI</t>
  </si>
  <si>
    <t>GUNYAZUDDI</t>
  </si>
  <si>
    <t>150KL/16MTR</t>
  </si>
  <si>
    <t>HAIBATPUR</t>
  </si>
  <si>
    <t>275KL/12MTR</t>
  </si>
  <si>
    <t>HAIDARNAGAR JALALPUR</t>
  </si>
  <si>
    <t>JATMUJHEDA</t>
  </si>
  <si>
    <t>KACHOLI</t>
  </si>
  <si>
    <t>KALLARPUR</t>
  </si>
  <si>
    <t>50KL/12MTR</t>
  </si>
  <si>
    <t>KARWARA</t>
  </si>
  <si>
    <t>KASIARA</t>
  </si>
  <si>
    <t>KASOLI</t>
  </si>
  <si>
    <t>375KL/16MTR</t>
  </si>
  <si>
    <t>KHERI DUDHA DHARI</t>
  </si>
  <si>
    <t>KHERIVIRAN</t>
  </si>
  <si>
    <t>KUTBI</t>
  </si>
  <si>
    <t>100KL/12MTR</t>
  </si>
  <si>
    <t>LAKHAN</t>
  </si>
  <si>
    <t>350KL/12MTR</t>
  </si>
  <si>
    <t>PURKAJI</t>
  </si>
  <si>
    <t>LAKHNOTI</t>
  </si>
  <si>
    <t>LALUKHERI</t>
  </si>
  <si>
    <t>MANGANPUR</t>
  </si>
  <si>
    <t>MUTHRA</t>
  </si>
  <si>
    <t>MOLAHERI</t>
  </si>
  <si>
    <t>200KL/16MTR</t>
  </si>
  <si>
    <t>MUSTAFABAD</t>
  </si>
  <si>
    <t>NAGALA PITHORA</t>
  </si>
  <si>
    <t>75KL/12MTR</t>
  </si>
  <si>
    <t>CHARTHAWAL</t>
  </si>
  <si>
    <t xml:space="preserve">NASIRPUR </t>
  </si>
  <si>
    <t>PACHENDA KALAN</t>
  </si>
  <si>
    <t>PAWTI KHURD</t>
  </si>
  <si>
    <t>PIPALHERA</t>
  </si>
  <si>
    <t>RAEE</t>
  </si>
  <si>
    <t>RASULPUR</t>
  </si>
  <si>
    <t>ROHANA KALAN</t>
  </si>
  <si>
    <t>225KL/16MTR</t>
  </si>
  <si>
    <t>ROHANA KHURD</t>
  </si>
  <si>
    <t xml:space="preserve">SADPUR </t>
  </si>
  <si>
    <t>SAIDPUR KALAN</t>
  </si>
  <si>
    <t>SANDHAWALI</t>
  </si>
  <si>
    <t>300KL/14MTR</t>
  </si>
  <si>
    <t>SEEMLI</t>
  </si>
  <si>
    <t>SIKANDARPUR</t>
  </si>
  <si>
    <t>SILAJUDDI</t>
  </si>
  <si>
    <t>SHAHPUR</t>
  </si>
  <si>
    <t>SONJHANI TAGAN</t>
  </si>
  <si>
    <t>TANDA</t>
  </si>
  <si>
    <t>TIGRI</t>
  </si>
  <si>
    <t>NAME  OF OHT WORKING AGENCY</t>
  </si>
  <si>
    <t>PMC No.</t>
  </si>
  <si>
    <t>Janardan</t>
  </si>
  <si>
    <t>Bills Raised</t>
  </si>
  <si>
    <t>GST Filed already</t>
  </si>
  <si>
    <t>Debit Done</t>
  </si>
  <si>
    <t xml:space="preserve">                                                 JANARDAN MUZZAFARNAGAR OHT WORK STATUS                                                                        26-06-2025</t>
  </si>
  <si>
    <t>18-06-2025 NEFT/AXISP00680334106/RIUP25/0495/JANARDAN ORGANICF/UBIN0565750 247500.00</t>
  </si>
  <si>
    <t>11-04-2025 NEFT/AXISP00650237585/RIUP25/0072/JANARDAN ORGANIC F/UBIN0565750 990000.00</t>
  </si>
  <si>
    <t>17-05-2024 NEFT/AXISP00500883099/RIUP24/0552/JANARDAN ORGANICF/UBIN0565750 475000.00</t>
  </si>
  <si>
    <t>05-06-2025 NEFT/AXISP00675041570/RIUP25/0413/JANARDAN ORGANICF/UBIN0565750 990000.00</t>
  </si>
  <si>
    <t>10-06-2025 NEFT/AXISP00677381946/RIUP25/0443/JANARDAN ORGANICF/UBIN0565750 495000.00</t>
  </si>
  <si>
    <t>12-06-2025 NEFT/AXISP00678550193/RIUP25/0466/JANARDAN ORGANICF/UBIN0565750 495000.00</t>
  </si>
  <si>
    <t>16-06-2025 NEFT/AXISP00679592957/RIUP25/0472/JANARDAN ORGANICF/UBIN0565750 495000.00</t>
  </si>
  <si>
    <t>05-06-2025 NEFT/AXISP00675041572/RIUP25/0414/JANARDAN ORGANICF/UBIN0565750 990000.00</t>
  </si>
  <si>
    <t>10-06-2025 NEFT/AXISP00677381948/RIUP25/0444/JANARDAN ORGANICF/UBIN0565750 495000.00</t>
  </si>
  <si>
    <t>12-06-2025 NEFT/AXISP00678550194/RIUP25/0467/JANARDAN ORGANICF/UBIN0565750 990000.00</t>
  </si>
  <si>
    <t>16-06-2025 NEFT/AXISP00679592958/RIUP25/0473/JANARDAN ORGANICF/UBIN0565750 495000.00</t>
  </si>
  <si>
    <t>10-06-2025 NEFT/AXISP00677381944/RIUP25/0442/JANARDAN ORGANICF/UBIN0565750 495000.00</t>
  </si>
  <si>
    <t>12-06-2025 NEFT/AXISP00678550192/RIUP25/0465/JANARDAN ORGANICF/UBIN0565750 495000.00</t>
  </si>
  <si>
    <t>16-06-2025 NEFT/AXISP00679592956/RIUP25/0471/JANARDAN ORGANICF/UBIN0565750 990000.00</t>
  </si>
  <si>
    <t>18-06-2025 NEFT/AXISP00680334108/RIUP25/0497/JANARDAN ORGANICF/UBIN0565750 742500.00</t>
  </si>
  <si>
    <t>21-06-2025 NEFT/AXISP00681375952/RIUP25/0521/JANARDAN ORGANIC F/UBIN0565750 990000.00</t>
  </si>
  <si>
    <t>24-06-2025 NEFT/AXISP00682119872/RIUP25/0545/JANARDAN ORGANICF/UBIN0565750 495000.00</t>
  </si>
  <si>
    <t>26-06-2025 NEFT/AXISP00682785641/RIUP25/0554/JANARDAN ORGANICF/UBIN0565750 495000.00</t>
  </si>
  <si>
    <t>23-06-2025 NEFT/AXISP00681739131/RIUP25/0538/JANARDAN ORGANIC F/UBIN0565750 990000.00</t>
  </si>
  <si>
    <t>25-06-2025 NEFT/AXISP00682506782/RIUP25/0546/JANARDAN ORGANICF/UBIN0565750 990000.00</t>
  </si>
  <si>
    <t>17-05-2024 NEFT/AXISP00500883098/RIUP24/0553/JANARDAN ORGANICF/UBIN0565750 475000.00</t>
  </si>
  <si>
    <t>AIKI BADHIWALA</t>
  </si>
  <si>
    <t>CHAMRAWALA AMLAWALA </t>
  </si>
  <si>
    <t>PAYMENT WITH TDS</t>
  </si>
  <si>
    <t>FINAL AMOUNT</t>
  </si>
  <si>
    <t>27-06-2025 NEFT/AXISP00683088414/RIUP25/0559/JANARDAN ORGANIC F/UBIN0565750 495000.00</t>
  </si>
  <si>
    <t>14-07-2025 NEFT/AXISP00690045470/RIUP25/0681/JANARDAN ORGANIC F/UBIN0565750 ₹ 99,000.00</t>
  </si>
  <si>
    <t>27-06-2025 NEFT/AXISP00683088413/RIUP25/0558/JANARDAN ORGANICF/UBIN0565750 495000.00</t>
  </si>
  <si>
    <t>17-07-2025 NEFT/AXISP00691605315/RIUP25/0693/JANARDAN ORGANICF/UBIN0565750 990000.00</t>
  </si>
  <si>
    <t>99,00,00</t>
  </si>
  <si>
    <t>17-07-2025 NEFT/AXISP00691605316/RIUP25/0694/JANARDAN ORGANICF/UBIN0565750 990000.00</t>
  </si>
  <si>
    <t>11-07-2025 NEFT/AXISP00689828456/RIUP25/0644/JANARDAN ORGANICF/UBIN0565750 495000.00</t>
  </si>
  <si>
    <t>14-07-2025 RTGS/UTIBR72025071400422826/RIUP25/0683/JANARDAN ORGANIC F/UBIN0565750 ₹ 9,90,000.00</t>
  </si>
  <si>
    <t>04-07-2025 NEFT/AXISP00686560832/RIUP25/0578/JANARDAN ORGANICF/UBIN0565750 1485000.00</t>
  </si>
  <si>
    <t>08-07-2025 NEFT/AXISP00688315459/RIUP25/0600/JANARDAN ORGANICF/UBIN0565750 495000.00</t>
  </si>
  <si>
    <t>11-07-2025 NEFT/AXISP00689828454/RIUP25/0643/JANARDAN ORGANICF/UBIN0565750 495000.00</t>
  </si>
  <si>
    <t>27-06-2025 NEFT/AXISP00683088415/RIUP25/0560/JANARDAN ORGANICF/UBIN0565750 792000.00</t>
  </si>
  <si>
    <t>03-07-2025 NEFT/AXISP00686047259/RIUP25/0577/JANARDAN ORGANICF/UBIN0565750 495000.00</t>
  </si>
  <si>
    <t>07-07-2025 NEFT/AXISP00687540177/RIUP25/0598/JANARDAN ORGANIC F/UBIN0565750 495000.00</t>
  </si>
  <si>
    <t>08-07-2025 NEFT/AXISP00688315458/RIUP25/0599/JANARDAN ORGANICF/UBIN0565750 495000.00</t>
  </si>
  <si>
    <t>11-07-2025 NEFT/AXISP00689828452/RIUP25/0642/JANARDAN ORGANICF/UBIN0565750 990000.00</t>
  </si>
  <si>
    <t>14-07-2025 RTGS/UTIBR72025071400422827/RIUP25/0682/JANARDAN ORGANIC F/UBIN0565750 ₹ 3,96,000.00</t>
  </si>
  <si>
    <t>18-06-2025 NEFT/AXISP00680334107/RIUP25/0496/JANARDAN ORGANICF/UBIN0565750 495000.00</t>
  </si>
  <si>
    <t>BALANCE WORK OF 150 KL16MTR STAGING OHT WORK VILL- Lokhnoti  BLOCK-Purkaji</t>
  </si>
  <si>
    <t>BALANCE WORK OF 250 KL16MTR STAGING OHT WORK VILL- Badheri  BLOCK-Sadar</t>
  </si>
  <si>
    <t>BALANCE WORK OF 200 KL12MTR STAGING OHT WORK VILL- Naseerpur  BLOCK-Sadar</t>
  </si>
  <si>
    <t>BALANCE WORK OF 175 KL12MTR STAGING OHT WORK VILL- Badhiwala  BLOCK-Sadar</t>
  </si>
  <si>
    <t>BALANCE WORK OF 150KL18MTR STAGING OHT WORK VILL- chamrawala Amlawala  BLOCK-Purkaji</t>
  </si>
  <si>
    <t>BALANCE WORK OF 250KL12MTR STAGING OHT WORK VILL-Kherki Hussainpur   BLOCK-Purkaji</t>
  </si>
  <si>
    <t>BALANCE WORK OF 150KL16MTR STAGING OHT WORK VILL- Gyanamazra , Hanaki  BLOCK-Charthawal</t>
  </si>
  <si>
    <t>BALANCE WORK OF 250KL12MTR STAGING OHT WORK VILL- Balwakheri  BLOCK-Charthawal</t>
  </si>
  <si>
    <t>BALANCE WORK OF 175KL12MTR STAGING OHT WORK VILL- Panhendra Khrud  BLOCK-sadar</t>
  </si>
  <si>
    <t>BALANCE WORK OF 350KL14MTR STAGING OHT WORK VILL- Belda  BLOCK-Morna</t>
  </si>
  <si>
    <t>Please Provide Tax invoices.Advance Paid but till date invoice not available for accounting.</t>
  </si>
  <si>
    <t>Payment pending</t>
  </si>
  <si>
    <t>1 &amp;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</si>
</sst>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[$-F800]dddd\,\ mmmm\ dd\,\ yyyy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name val="Comic Sans MS"/>
      <family val="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sz val="11"/>
      <color theme="1"/>
      <name val="Comic Sans MS"/>
      <family val="4"/>
    </font>
    <font>
      <sz val="9"/>
      <color rgb="FF333333"/>
      <name val="Verdana"/>
      <family val="2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omic Sans MS"/>
      <family val="4"/>
    </font>
    <font>
      <b/>
      <sz val="12"/>
      <color theme="1"/>
      <name val="Comic Sans MS"/>
      <family val="4"/>
    </font>
    <font>
      <b/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omic Sans MS"/>
      <family val="4"/>
    </font>
    <font>
      <b/>
      <sz val="9"/>
      <color rgb="FF333333"/>
      <name val="Verdana"/>
      <family val="2"/>
    </font>
    <font>
      <sz val="10"/>
      <color rgb="FF333333"/>
      <name val="Verdana"/>
      <family val="2"/>
    </font>
    <font>
      <sz val="9"/>
      <color theme="1"/>
      <name val="Verdana"/>
      <family val="2"/>
    </font>
    <font>
      <b/>
      <sz val="14"/>
      <color theme="1"/>
      <name val="Calibri"/>
      <family val="2"/>
      <scheme val="minor"/>
    </font>
    <font>
      <sz val="12"/>
      <color theme="1"/>
      <name val="Comic Sans MS"/>
      <family val="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4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4" fillId="2" borderId="5" xfId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4" fillId="3" borderId="5" xfId="1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43" fontId="8" fillId="2" borderId="5" xfId="1" applyFont="1" applyFill="1" applyBorder="1" applyAlignment="1">
      <alignment vertical="center"/>
    </xf>
    <xf numFmtId="0" fontId="2" fillId="3" borderId="5" xfId="0" applyFont="1" applyFill="1" applyBorder="1" applyAlignment="1">
      <alignment vertical="center"/>
    </xf>
    <xf numFmtId="15" fontId="4" fillId="3" borderId="5" xfId="0" applyNumberFormat="1" applyFont="1" applyFill="1" applyBorder="1" applyAlignment="1">
      <alignment horizontal="center" vertical="center"/>
    </xf>
    <xf numFmtId="43" fontId="4" fillId="3" borderId="8" xfId="1" applyFont="1" applyFill="1" applyBorder="1" applyAlignment="1">
      <alignment vertical="center"/>
    </xf>
    <xf numFmtId="15" fontId="4" fillId="2" borderId="5" xfId="0" applyNumberFormat="1" applyFont="1" applyFill="1" applyBorder="1" applyAlignment="1">
      <alignment horizontal="center" vertical="center"/>
    </xf>
    <xf numFmtId="43" fontId="12" fillId="2" borderId="0" xfId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vertical="center"/>
    </xf>
    <xf numFmtId="0" fontId="0" fillId="4" borderId="0" xfId="0" applyFill="1" applyAlignment="1">
      <alignment vertical="center"/>
    </xf>
    <xf numFmtId="43" fontId="7" fillId="2" borderId="5" xfId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10" fillId="3" borderId="0" xfId="0" applyFont="1" applyFill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14" fontId="4" fillId="2" borderId="5" xfId="1" applyNumberFormat="1" applyFont="1" applyFill="1" applyBorder="1" applyAlignment="1">
      <alignment vertical="center"/>
    </xf>
    <xf numFmtId="43" fontId="0" fillId="2" borderId="5" xfId="1" applyFont="1" applyFill="1" applyBorder="1" applyAlignment="1">
      <alignment vertical="center"/>
    </xf>
    <xf numFmtId="43" fontId="0" fillId="2" borderId="5" xfId="0" applyNumberFormat="1" applyFill="1" applyBorder="1" applyAlignment="1">
      <alignment vertical="center"/>
    </xf>
    <xf numFmtId="43" fontId="0" fillId="3" borderId="5" xfId="0" applyNumberFormat="1" applyFill="1" applyBorder="1" applyAlignment="1">
      <alignment vertical="center"/>
    </xf>
    <xf numFmtId="43" fontId="0" fillId="3" borderId="5" xfId="1" applyFont="1" applyFill="1" applyBorder="1" applyAlignment="1">
      <alignment vertical="center"/>
    </xf>
    <xf numFmtId="43" fontId="4" fillId="0" borderId="5" xfId="1" applyFont="1" applyFill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15" fontId="11" fillId="3" borderId="5" xfId="0" applyNumberFormat="1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43" fontId="11" fillId="3" borderId="5" xfId="1" applyFont="1" applyFill="1" applyBorder="1" applyAlignment="1">
      <alignment vertical="center"/>
    </xf>
    <xf numFmtId="0" fontId="13" fillId="0" borderId="5" xfId="0" applyFont="1" applyBorder="1"/>
    <xf numFmtId="0" fontId="0" fillId="2" borderId="5" xfId="0" applyFill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43" fontId="8" fillId="3" borderId="5" xfId="1" applyFont="1" applyFill="1" applyBorder="1" applyAlignment="1">
      <alignment vertical="center"/>
    </xf>
    <xf numFmtId="0" fontId="10" fillId="3" borderId="5" xfId="0" applyFont="1" applyFill="1" applyBorder="1" applyAlignment="1">
      <alignment vertical="center"/>
    </xf>
    <xf numFmtId="43" fontId="4" fillId="2" borderId="5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vertical="center"/>
    </xf>
    <xf numFmtId="43" fontId="7" fillId="3" borderId="5" xfId="1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43" fontId="6" fillId="2" borderId="5" xfId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43" fontId="15" fillId="2" borderId="5" xfId="1" applyFont="1" applyFill="1" applyBorder="1" applyAlignment="1">
      <alignment vertical="center"/>
    </xf>
    <xf numFmtId="43" fontId="4" fillId="2" borderId="0" xfId="1" applyFont="1" applyFill="1" applyAlignment="1">
      <alignment vertical="center"/>
    </xf>
    <xf numFmtId="43" fontId="7" fillId="2" borderId="0" xfId="1" applyFont="1" applyFill="1" applyAlignment="1">
      <alignment vertical="center"/>
    </xf>
    <xf numFmtId="43" fontId="0" fillId="0" borderId="5" xfId="1" applyFont="1" applyBorder="1" applyAlignment="1">
      <alignment vertical="center"/>
    </xf>
    <xf numFmtId="43" fontId="10" fillId="3" borderId="5" xfId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43" fontId="7" fillId="2" borderId="7" xfId="1" applyFont="1" applyFill="1" applyBorder="1" applyAlignment="1">
      <alignment horizontal="center" vertical="center"/>
    </xf>
    <xf numFmtId="43" fontId="6" fillId="2" borderId="7" xfId="1" applyFont="1" applyFill="1" applyBorder="1" applyAlignment="1">
      <alignment horizontal="center" vertical="center"/>
    </xf>
    <xf numFmtId="43" fontId="6" fillId="2" borderId="7" xfId="1" applyFont="1" applyFill="1" applyBorder="1" applyAlignment="1">
      <alignment horizontal="center" vertical="center" wrapText="1"/>
    </xf>
    <xf numFmtId="43" fontId="7" fillId="2" borderId="7" xfId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vertical="center"/>
    </xf>
    <xf numFmtId="43" fontId="6" fillId="2" borderId="17" xfId="1" applyFont="1" applyFill="1" applyBorder="1" applyAlignment="1">
      <alignment vertical="center"/>
    </xf>
    <xf numFmtId="43" fontId="4" fillId="2" borderId="17" xfId="1" applyFont="1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43" fontId="7" fillId="2" borderId="17" xfId="1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5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3" fontId="4" fillId="2" borderId="7" xfId="1" applyFont="1" applyFill="1" applyBorder="1" applyAlignment="1">
      <alignment vertical="center"/>
    </xf>
    <xf numFmtId="43" fontId="0" fillId="2" borderId="7" xfId="1" applyFont="1" applyFill="1" applyBorder="1" applyAlignment="1">
      <alignment vertical="center"/>
    </xf>
    <xf numFmtId="43" fontId="7" fillId="2" borderId="7" xfId="1" applyFont="1" applyFill="1" applyBorder="1" applyAlignment="1">
      <alignment vertical="center"/>
    </xf>
    <xf numFmtId="43" fontId="6" fillId="2" borderId="7" xfId="1" applyFont="1" applyFill="1" applyBorder="1" applyAlignment="1">
      <alignment vertical="center"/>
    </xf>
    <xf numFmtId="0" fontId="2" fillId="5" borderId="8" xfId="0" applyFont="1" applyFill="1" applyBorder="1" applyAlignment="1">
      <alignment vertical="center"/>
    </xf>
    <xf numFmtId="9" fontId="4" fillId="3" borderId="8" xfId="1" applyNumberFormat="1" applyFont="1" applyFill="1" applyBorder="1" applyAlignment="1">
      <alignment vertical="center"/>
    </xf>
    <xf numFmtId="0" fontId="6" fillId="5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9" fontId="4" fillId="2" borderId="17" xfId="1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3" fontId="4" fillId="2" borderId="5" xfId="0" applyNumberFormat="1" applyFont="1" applyFill="1" applyBorder="1" applyAlignment="1">
      <alignment horizontal="center" vertical="center"/>
    </xf>
    <xf numFmtId="43" fontId="11" fillId="2" borderId="5" xfId="1" applyFont="1" applyFill="1" applyBorder="1" applyAlignment="1">
      <alignment vertical="center"/>
    </xf>
    <xf numFmtId="43" fontId="4" fillId="2" borderId="5" xfId="0" applyNumberFormat="1" applyFont="1" applyFill="1" applyBorder="1" applyAlignment="1">
      <alignment horizontal="center" vertical="center"/>
    </xf>
    <xf numFmtId="43" fontId="10" fillId="2" borderId="5" xfId="0" applyNumberFormat="1" applyFont="1" applyFill="1" applyBorder="1" applyAlignment="1">
      <alignment vertical="center"/>
    </xf>
    <xf numFmtId="0" fontId="13" fillId="0" borderId="0" xfId="0" applyFont="1"/>
    <xf numFmtId="43" fontId="7" fillId="2" borderId="10" xfId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0" fillId="2" borderId="10" xfId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/>
    </xf>
    <xf numFmtId="3" fontId="11" fillId="2" borderId="5" xfId="0" applyNumberFormat="1" applyFont="1" applyFill="1" applyBorder="1" applyAlignment="1">
      <alignment horizontal="center" vertical="center"/>
    </xf>
    <xf numFmtId="43" fontId="11" fillId="5" borderId="5" xfId="1" applyFont="1" applyFill="1" applyBorder="1" applyAlignment="1">
      <alignment vertical="center"/>
    </xf>
    <xf numFmtId="0" fontId="4" fillId="6" borderId="5" xfId="0" applyFont="1" applyFill="1" applyBorder="1" applyAlignment="1">
      <alignment horizontal="center" vertical="center"/>
    </xf>
    <xf numFmtId="43" fontId="4" fillId="7" borderId="5" xfId="1" applyFont="1" applyFill="1" applyBorder="1" applyAlignment="1">
      <alignment vertical="center"/>
    </xf>
    <xf numFmtId="43" fontId="15" fillId="2" borderId="0" xfId="1" applyFont="1" applyFill="1" applyAlignment="1">
      <alignment vertical="center"/>
    </xf>
    <xf numFmtId="43" fontId="7" fillId="3" borderId="8" xfId="1" applyFont="1" applyFill="1" applyBorder="1" applyAlignment="1">
      <alignment vertical="center"/>
    </xf>
    <xf numFmtId="43" fontId="15" fillId="3" borderId="5" xfId="1" applyFont="1" applyFill="1" applyBorder="1" applyAlignment="1">
      <alignment vertical="center"/>
    </xf>
    <xf numFmtId="43" fontId="2" fillId="3" borderId="5" xfId="1" applyFont="1" applyFill="1" applyBorder="1" applyAlignment="1">
      <alignment vertical="center"/>
    </xf>
    <xf numFmtId="43" fontId="15" fillId="2" borderId="18" xfId="1" applyFont="1" applyFill="1" applyBorder="1" applyAlignment="1">
      <alignment vertical="center"/>
    </xf>
    <xf numFmtId="0" fontId="2" fillId="2" borderId="19" xfId="0" applyFont="1" applyFill="1" applyBorder="1" applyAlignment="1">
      <alignment vertical="center"/>
    </xf>
    <xf numFmtId="0" fontId="4" fillId="0" borderId="19" xfId="0" applyFont="1" applyBorder="1" applyAlignment="1">
      <alignment horizontal="center" vertical="center" wrapText="1"/>
    </xf>
    <xf numFmtId="15" fontId="4" fillId="0" borderId="19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43" fontId="4" fillId="0" borderId="19" xfId="1" applyFont="1" applyFill="1" applyBorder="1" applyAlignment="1">
      <alignment vertical="center"/>
    </xf>
    <xf numFmtId="43" fontId="4" fillId="2" borderId="19" xfId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43" fontId="0" fillId="2" borderId="19" xfId="1" applyFont="1" applyFill="1" applyBorder="1" applyAlignment="1">
      <alignment vertical="center"/>
    </xf>
    <xf numFmtId="43" fontId="15" fillId="2" borderId="19" xfId="1" applyFont="1" applyFill="1" applyBorder="1" applyAlignment="1">
      <alignment vertical="center"/>
    </xf>
    <xf numFmtId="43" fontId="0" fillId="2" borderId="19" xfId="0" applyNumberFormat="1" applyFill="1" applyBorder="1" applyAlignment="1">
      <alignment vertical="center"/>
    </xf>
    <xf numFmtId="0" fontId="2" fillId="4" borderId="5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43" fontId="6" fillId="2" borderId="5" xfId="1" applyFont="1" applyFill="1" applyBorder="1" applyAlignment="1">
      <alignment horizontal="center" vertical="center"/>
    </xf>
    <xf numFmtId="43" fontId="6" fillId="4" borderId="5" xfId="1" applyFont="1" applyFill="1" applyBorder="1" applyAlignment="1">
      <alignment horizontal="center" vertical="center"/>
    </xf>
    <xf numFmtId="43" fontId="14" fillId="2" borderId="5" xfId="1" applyFont="1" applyFill="1" applyBorder="1" applyAlignment="1">
      <alignment horizontal="center" vertical="center"/>
    </xf>
    <xf numFmtId="43" fontId="14" fillId="4" borderId="5" xfId="1" applyFont="1" applyFill="1" applyBorder="1" applyAlignment="1">
      <alignment horizontal="center" vertical="center"/>
    </xf>
    <xf numFmtId="43" fontId="6" fillId="2" borderId="19" xfId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5" fontId="8" fillId="2" borderId="5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vertical="center"/>
    </xf>
    <xf numFmtId="15" fontId="4" fillId="8" borderId="5" xfId="0" applyNumberFormat="1" applyFont="1" applyFill="1" applyBorder="1" applyAlignment="1">
      <alignment horizontal="center" vertical="center"/>
    </xf>
    <xf numFmtId="43" fontId="4" fillId="2" borderId="5" xfId="1" applyFont="1" applyFill="1" applyBorder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43" fontId="15" fillId="0" borderId="0" xfId="1" applyFont="1" applyFill="1" applyAlignment="1">
      <alignment vertical="center"/>
    </xf>
    <xf numFmtId="43" fontId="4" fillId="0" borderId="0" xfId="1" applyFont="1" applyFill="1" applyAlignment="1">
      <alignment vertical="center"/>
    </xf>
    <xf numFmtId="43" fontId="4" fillId="0" borderId="0" xfId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4" fillId="4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15" fontId="4" fillId="2" borderId="5" xfId="0" applyNumberFormat="1" applyFont="1" applyFill="1" applyBorder="1" applyAlignment="1">
      <alignment horizontal="center" vertical="center" wrapText="1"/>
    </xf>
    <xf numFmtId="3" fontId="4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3" fontId="2" fillId="2" borderId="5" xfId="1" applyFont="1" applyFill="1" applyBorder="1" applyAlignment="1">
      <alignment vertical="center"/>
    </xf>
    <xf numFmtId="43" fontId="15" fillId="2" borderId="7" xfId="1" applyFont="1" applyFill="1" applyBorder="1" applyAlignment="1">
      <alignment horizontal="center" vertical="center" wrapText="1"/>
    </xf>
    <xf numFmtId="43" fontId="15" fillId="2" borderId="17" xfId="1" applyFont="1" applyFill="1" applyBorder="1" applyAlignment="1">
      <alignment vertical="center"/>
    </xf>
    <xf numFmtId="43" fontId="11" fillId="9" borderId="5" xfId="1" applyFont="1" applyFill="1" applyBorder="1" applyAlignment="1">
      <alignment vertical="center"/>
    </xf>
    <xf numFmtId="43" fontId="8" fillId="0" borderId="5" xfId="1" applyFont="1" applyFill="1" applyBorder="1" applyAlignment="1">
      <alignment vertical="center"/>
    </xf>
    <xf numFmtId="3" fontId="8" fillId="2" borderId="5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1" applyNumberFormat="1" applyFont="1" applyFill="1" applyAlignment="1">
      <alignment horizontal="center" vertical="center"/>
    </xf>
    <xf numFmtId="0" fontId="2" fillId="0" borderId="0" xfId="1" applyNumberFormat="1" applyFont="1" applyFill="1" applyBorder="1" applyAlignment="1">
      <alignment horizontal="center" vertical="center"/>
    </xf>
    <xf numFmtId="0" fontId="6" fillId="2" borderId="5" xfId="1" applyNumberFormat="1" applyFont="1" applyFill="1" applyBorder="1" applyAlignment="1">
      <alignment horizontal="center" vertical="center" wrapText="1"/>
    </xf>
    <xf numFmtId="0" fontId="14" fillId="2" borderId="5" xfId="1" applyNumberFormat="1" applyFont="1" applyFill="1" applyBorder="1" applyAlignment="1">
      <alignment horizontal="center" vertical="center"/>
    </xf>
    <xf numFmtId="0" fontId="6" fillId="2" borderId="5" xfId="1" applyNumberFormat="1" applyFont="1" applyFill="1" applyBorder="1" applyAlignment="1">
      <alignment horizontal="center" vertical="center"/>
    </xf>
    <xf numFmtId="0" fontId="14" fillId="2" borderId="5" xfId="1" applyNumberFormat="1" applyFont="1" applyFill="1" applyBorder="1" applyAlignment="1">
      <alignment horizontal="center" vertical="center" wrapText="1"/>
    </xf>
    <xf numFmtId="0" fontId="6" fillId="4" borderId="5" xfId="1" applyNumberFormat="1" applyFont="1" applyFill="1" applyBorder="1" applyAlignment="1">
      <alignment horizontal="center" vertical="center" wrapText="1"/>
    </xf>
    <xf numFmtId="0" fontId="2" fillId="4" borderId="5" xfId="1" applyNumberFormat="1" applyFont="1" applyFill="1" applyBorder="1" applyAlignment="1">
      <alignment horizontal="center" vertical="center"/>
    </xf>
    <xf numFmtId="0" fontId="2" fillId="2" borderId="5" xfId="1" applyNumberFormat="1" applyFont="1" applyFill="1" applyBorder="1" applyAlignment="1">
      <alignment horizontal="center" vertical="center"/>
    </xf>
    <xf numFmtId="0" fontId="19" fillId="4" borderId="5" xfId="1" applyNumberFormat="1" applyFont="1" applyFill="1" applyBorder="1" applyAlignment="1">
      <alignment horizontal="center" vertical="center" wrapText="1"/>
    </xf>
    <xf numFmtId="0" fontId="19" fillId="2" borderId="5" xfId="1" applyNumberFormat="1" applyFont="1" applyFill="1" applyBorder="1" applyAlignment="1">
      <alignment horizontal="center" vertical="center" wrapText="1"/>
    </xf>
    <xf numFmtId="0" fontId="6" fillId="4" borderId="5" xfId="1" applyNumberFormat="1" applyFont="1" applyFill="1" applyBorder="1" applyAlignment="1">
      <alignment horizontal="center" vertical="center"/>
    </xf>
    <xf numFmtId="0" fontId="2" fillId="2" borderId="17" xfId="1" applyNumberFormat="1" applyFont="1" applyFill="1" applyBorder="1" applyAlignment="1">
      <alignment horizontal="center" vertical="center"/>
    </xf>
    <xf numFmtId="0" fontId="2" fillId="2" borderId="0" xfId="1" applyNumberFormat="1" applyFont="1" applyFill="1" applyAlignment="1">
      <alignment horizontal="center" vertical="center"/>
    </xf>
    <xf numFmtId="43" fontId="11" fillId="9" borderId="5" xfId="1" applyFont="1" applyFill="1" applyBorder="1" applyAlignment="1">
      <alignment horizontal="center" vertical="center" wrapText="1"/>
    </xf>
    <xf numFmtId="43" fontId="15" fillId="9" borderId="5" xfId="1" applyFont="1" applyFill="1" applyBorder="1" applyAlignment="1">
      <alignment vertical="center"/>
    </xf>
    <xf numFmtId="0" fontId="19" fillId="2" borderId="5" xfId="1" applyNumberFormat="1" applyFont="1" applyFill="1" applyBorder="1" applyAlignment="1">
      <alignment horizontal="center" vertical="center"/>
    </xf>
    <xf numFmtId="43" fontId="4" fillId="2" borderId="10" xfId="1" applyFont="1" applyFill="1" applyBorder="1" applyAlignment="1">
      <alignment vertical="center"/>
    </xf>
    <xf numFmtId="43" fontId="4" fillId="2" borderId="6" xfId="1" applyFont="1" applyFill="1" applyBorder="1" applyAlignment="1">
      <alignment vertical="center"/>
    </xf>
    <xf numFmtId="43" fontId="0" fillId="2" borderId="18" xfId="1" applyFont="1" applyFill="1" applyBorder="1" applyAlignment="1">
      <alignment vertical="center"/>
    </xf>
    <xf numFmtId="43" fontId="4" fillId="2" borderId="8" xfId="1" applyFont="1" applyFill="1" applyBorder="1" applyAlignment="1">
      <alignment vertical="center"/>
    </xf>
    <xf numFmtId="43" fontId="0" fillId="2" borderId="17" xfId="1" applyFont="1" applyFill="1" applyBorder="1" applyAlignment="1">
      <alignment vertical="center"/>
    </xf>
    <xf numFmtId="43" fontId="4" fillId="10" borderId="5" xfId="1" applyFont="1" applyFill="1" applyBorder="1" applyAlignment="1">
      <alignment vertical="center"/>
    </xf>
    <xf numFmtId="0" fontId="4" fillId="0" borderId="5" xfId="0" applyFont="1" applyBorder="1" applyAlignment="1">
      <alignment horizontal="center"/>
    </xf>
    <xf numFmtId="43" fontId="0" fillId="2" borderId="6" xfId="1" applyFont="1" applyFill="1" applyBorder="1" applyAlignment="1">
      <alignment vertical="center"/>
    </xf>
    <xf numFmtId="43" fontId="15" fillId="3" borderId="20" xfId="1" applyFont="1" applyFill="1" applyBorder="1" applyAlignment="1">
      <alignment vertical="center"/>
    </xf>
    <xf numFmtId="43" fontId="0" fillId="2" borderId="3" xfId="1" applyFont="1" applyFill="1" applyBorder="1" applyAlignment="1">
      <alignment vertical="center"/>
    </xf>
    <xf numFmtId="43" fontId="4" fillId="2" borderId="18" xfId="1" applyFont="1" applyFill="1" applyBorder="1" applyAlignment="1">
      <alignment vertical="center"/>
    </xf>
    <xf numFmtId="43" fontId="4" fillId="2" borderId="32" xfId="1" applyFont="1" applyFill="1" applyBorder="1" applyAlignment="1">
      <alignment vertical="center"/>
    </xf>
    <xf numFmtId="43" fontId="0" fillId="2" borderId="34" xfId="1" applyFont="1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43" fontId="4" fillId="0" borderId="18" xfId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15" fontId="4" fillId="2" borderId="18" xfId="0" applyNumberFormat="1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15" fontId="4" fillId="0" borderId="36" xfId="0" applyNumberFormat="1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43" fontId="4" fillId="0" borderId="36" xfId="1" applyFont="1" applyFill="1" applyBorder="1" applyAlignment="1">
      <alignment vertical="center"/>
    </xf>
    <xf numFmtId="43" fontId="4" fillId="2" borderId="36" xfId="1" applyFont="1" applyFill="1" applyBorder="1" applyAlignment="1">
      <alignment vertical="center"/>
    </xf>
    <xf numFmtId="43" fontId="8" fillId="0" borderId="36" xfId="1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vertical="center"/>
    </xf>
    <xf numFmtId="43" fontId="0" fillId="2" borderId="37" xfId="1" applyFont="1" applyFill="1" applyBorder="1" applyAlignment="1">
      <alignment vertical="center"/>
    </xf>
    <xf numFmtId="43" fontId="4" fillId="2" borderId="25" xfId="1" applyFont="1" applyFill="1" applyBorder="1" applyAlignment="1">
      <alignment vertical="center"/>
    </xf>
    <xf numFmtId="43" fontId="0" fillId="2" borderId="38" xfId="1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43" fontId="4" fillId="0" borderId="39" xfId="1" applyFont="1" applyFill="1" applyBorder="1" applyAlignment="1">
      <alignment vertical="center"/>
    </xf>
    <xf numFmtId="0" fontId="6" fillId="2" borderId="40" xfId="1" applyNumberFormat="1" applyFont="1" applyFill="1" applyBorder="1" applyAlignment="1">
      <alignment horizontal="center" vertical="center"/>
    </xf>
    <xf numFmtId="43" fontId="4" fillId="0" borderId="3" xfId="1" applyFont="1" applyFill="1" applyBorder="1" applyAlignment="1">
      <alignment vertical="center"/>
    </xf>
    <xf numFmtId="43" fontId="4" fillId="2" borderId="30" xfId="1" applyFont="1" applyFill="1" applyBorder="1" applyAlignment="1">
      <alignment vertical="center"/>
    </xf>
    <xf numFmtId="0" fontId="6" fillId="2" borderId="21" xfId="1" applyNumberFormat="1" applyFont="1" applyFill="1" applyBorder="1" applyAlignment="1">
      <alignment horizontal="center" vertical="center"/>
    </xf>
    <xf numFmtId="0" fontId="2" fillId="2" borderId="41" xfId="1" applyNumberFormat="1" applyFont="1" applyFill="1" applyBorder="1" applyAlignment="1">
      <alignment horizontal="center" vertical="center"/>
    </xf>
    <xf numFmtId="43" fontId="4" fillId="5" borderId="5" xfId="1" applyFont="1" applyFill="1" applyBorder="1" applyAlignment="1">
      <alignment vertical="center"/>
    </xf>
    <xf numFmtId="0" fontId="13" fillId="3" borderId="0" xfId="0" applyFont="1" applyFill="1"/>
    <xf numFmtId="0" fontId="9" fillId="3" borderId="5" xfId="0" applyFont="1" applyFill="1" applyBorder="1" applyAlignment="1">
      <alignment vertical="center" wrapText="1"/>
    </xf>
    <xf numFmtId="43" fontId="11" fillId="11" borderId="5" xfId="1" applyFont="1" applyFill="1" applyBorder="1" applyAlignment="1">
      <alignment vertical="center"/>
    </xf>
    <xf numFmtId="43" fontId="8" fillId="5" borderId="5" xfId="1" applyFont="1" applyFill="1" applyBorder="1" applyAlignment="1">
      <alignment vertical="center"/>
    </xf>
    <xf numFmtId="0" fontId="0" fillId="3" borderId="5" xfId="0" applyFill="1" applyBorder="1" applyAlignment="1">
      <alignment vertical="center" wrapText="1"/>
    </xf>
    <xf numFmtId="43" fontId="2" fillId="3" borderId="5" xfId="1" applyFont="1" applyFill="1" applyBorder="1"/>
    <xf numFmtId="43" fontId="4" fillId="11" borderId="5" xfId="1" applyFont="1" applyFill="1" applyBorder="1" applyAlignment="1">
      <alignment vertical="center"/>
    </xf>
    <xf numFmtId="0" fontId="13" fillId="3" borderId="5" xfId="0" applyFont="1" applyFill="1" applyBorder="1" applyAlignment="1">
      <alignment vertical="center"/>
    </xf>
    <xf numFmtId="164" fontId="4" fillId="2" borderId="5" xfId="0" applyNumberFormat="1" applyFont="1" applyFill="1" applyBorder="1" applyAlignment="1">
      <alignment horizontal="right" vertical="top"/>
    </xf>
    <xf numFmtId="164" fontId="4" fillId="2" borderId="5" xfId="1" applyNumberFormat="1" applyFont="1" applyFill="1" applyBorder="1" applyAlignment="1">
      <alignment horizontal="right" vertical="top"/>
    </xf>
    <xf numFmtId="0" fontId="4" fillId="5" borderId="5" xfId="0" applyFont="1" applyFill="1" applyBorder="1" applyAlignment="1">
      <alignment horizontal="center" vertical="center"/>
    </xf>
    <xf numFmtId="43" fontId="4" fillId="6" borderId="5" xfId="1" applyFont="1" applyFill="1" applyBorder="1" applyAlignment="1">
      <alignment vertical="center"/>
    </xf>
    <xf numFmtId="43" fontId="15" fillId="3" borderId="10" xfId="1" applyFont="1" applyFill="1" applyBorder="1" applyAlignment="1">
      <alignment vertical="center"/>
    </xf>
    <xf numFmtId="0" fontId="25" fillId="3" borderId="0" xfId="0" applyFont="1" applyFill="1"/>
    <xf numFmtId="0" fontId="26" fillId="3" borderId="0" xfId="0" applyFont="1" applyFill="1"/>
    <xf numFmtId="43" fontId="2" fillId="3" borderId="19" xfId="1" applyFont="1" applyFill="1" applyBorder="1"/>
    <xf numFmtId="0" fontId="24" fillId="3" borderId="0" xfId="0" applyFont="1" applyFill="1"/>
    <xf numFmtId="43" fontId="0" fillId="12" borderId="5" xfId="1" applyFont="1" applyFill="1" applyBorder="1" applyAlignment="1">
      <alignment vertical="center"/>
    </xf>
    <xf numFmtId="43" fontId="8" fillId="11" borderId="5" xfId="1" applyFont="1" applyFill="1" applyBorder="1" applyAlignment="1">
      <alignment vertical="center"/>
    </xf>
    <xf numFmtId="43" fontId="11" fillId="6" borderId="5" xfId="1" applyFont="1" applyFill="1" applyBorder="1" applyAlignment="1">
      <alignment vertical="center"/>
    </xf>
    <xf numFmtId="43" fontId="9" fillId="11" borderId="5" xfId="1" applyFont="1" applyFill="1" applyBorder="1" applyAlignment="1">
      <alignment vertical="center"/>
    </xf>
    <xf numFmtId="0" fontId="13" fillId="3" borderId="21" xfId="0" applyFont="1" applyFill="1" applyBorder="1"/>
    <xf numFmtId="43" fontId="4" fillId="5" borderId="36" xfId="1" applyFont="1" applyFill="1" applyBorder="1" applyAlignment="1">
      <alignment vertical="center"/>
    </xf>
    <xf numFmtId="43" fontId="0" fillId="3" borderId="10" xfId="1" applyFont="1" applyFill="1" applyBorder="1" applyAlignment="1">
      <alignment vertical="center"/>
    </xf>
    <xf numFmtId="43" fontId="15" fillId="3" borderId="31" xfId="1" applyFont="1" applyFill="1" applyBorder="1" applyAlignment="1">
      <alignment vertical="center"/>
    </xf>
    <xf numFmtId="0" fontId="9" fillId="3" borderId="32" xfId="0" applyFont="1" applyFill="1" applyBorder="1" applyAlignment="1">
      <alignment vertical="center"/>
    </xf>
    <xf numFmtId="43" fontId="15" fillId="3" borderId="18" xfId="1" applyFont="1" applyFill="1" applyBorder="1" applyAlignment="1">
      <alignment vertical="center"/>
    </xf>
    <xf numFmtId="43" fontId="0" fillId="3" borderId="33" xfId="1" applyFont="1" applyFill="1" applyBorder="1" applyAlignment="1">
      <alignment vertical="center"/>
    </xf>
    <xf numFmtId="43" fontId="0" fillId="3" borderId="3" xfId="1" applyFont="1" applyFill="1" applyBorder="1" applyAlignment="1">
      <alignment vertical="center"/>
    </xf>
    <xf numFmtId="43" fontId="15" fillId="3" borderId="3" xfId="1" applyFont="1" applyFill="1" applyBorder="1" applyAlignment="1">
      <alignment vertical="center"/>
    </xf>
    <xf numFmtId="0" fontId="9" fillId="3" borderId="25" xfId="0" applyFont="1" applyFill="1" applyBorder="1" applyAlignment="1">
      <alignment vertical="center"/>
    </xf>
    <xf numFmtId="43" fontId="0" fillId="3" borderId="31" xfId="1" applyFont="1" applyFill="1" applyBorder="1" applyAlignment="1">
      <alignment vertical="center"/>
    </xf>
    <xf numFmtId="43" fontId="15" fillId="3" borderId="36" xfId="1" applyFont="1" applyFill="1" applyBorder="1" applyAlignment="1">
      <alignment vertical="center"/>
    </xf>
    <xf numFmtId="0" fontId="9" fillId="3" borderId="36" xfId="0" applyFont="1" applyFill="1" applyBorder="1" applyAlignment="1">
      <alignment vertical="center"/>
    </xf>
    <xf numFmtId="43" fontId="15" fillId="3" borderId="33" xfId="1" applyFont="1" applyFill="1" applyBorder="1" applyAlignment="1">
      <alignment vertical="center"/>
    </xf>
    <xf numFmtId="0" fontId="13" fillId="3" borderId="34" xfId="0" applyFont="1" applyFill="1" applyBorder="1"/>
    <xf numFmtId="43" fontId="0" fillId="3" borderId="23" xfId="1" applyFont="1" applyFill="1" applyBorder="1" applyAlignment="1">
      <alignment vertical="center"/>
    </xf>
    <xf numFmtId="0" fontId="9" fillId="3" borderId="18" xfId="0" applyFont="1" applyFill="1" applyBorder="1" applyAlignment="1">
      <alignment vertical="center"/>
    </xf>
    <xf numFmtId="43" fontId="0" fillId="13" borderId="5" xfId="1" applyFont="1" applyFill="1" applyBorder="1" applyAlignment="1">
      <alignment vertical="center"/>
    </xf>
    <xf numFmtId="43" fontId="15" fillId="13" borderId="5" xfId="1" applyFont="1" applyFill="1" applyBorder="1" applyAlignment="1">
      <alignment vertical="center"/>
    </xf>
    <xf numFmtId="0" fontId="0" fillId="13" borderId="5" xfId="0" applyFill="1" applyBorder="1" applyAlignment="1">
      <alignment vertical="center"/>
    </xf>
    <xf numFmtId="0" fontId="0" fillId="0" borderId="18" xfId="0" applyBorder="1" applyAlignment="1">
      <alignment vertical="center"/>
    </xf>
    <xf numFmtId="0" fontId="22" fillId="0" borderId="18" xfId="0" applyFont="1" applyBorder="1" applyAlignment="1">
      <alignment vertical="center"/>
    </xf>
    <xf numFmtId="0" fontId="0" fillId="0" borderId="18" xfId="0" applyBorder="1"/>
    <xf numFmtId="43" fontId="22" fillId="0" borderId="18" xfId="1" applyFont="1" applyBorder="1" applyAlignment="1">
      <alignment vertical="center"/>
    </xf>
    <xf numFmtId="43" fontId="22" fillId="4" borderId="18" xfId="1" applyFont="1" applyFill="1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0" fontId="22" fillId="0" borderId="36" xfId="0" applyFont="1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4" xfId="0" applyBorder="1"/>
    <xf numFmtId="0" fontId="0" fillId="0" borderId="33" xfId="0" applyBorder="1"/>
    <xf numFmtId="0" fontId="0" fillId="0" borderId="35" xfId="0" applyBorder="1"/>
    <xf numFmtId="0" fontId="0" fillId="0" borderId="37" xfId="0" applyBorder="1"/>
    <xf numFmtId="0" fontId="0" fillId="0" borderId="43" xfId="0" applyBorder="1"/>
    <xf numFmtId="0" fontId="2" fillId="13" borderId="28" xfId="0" applyFont="1" applyFill="1" applyBorder="1" applyAlignment="1">
      <alignment horizontal="center" vertical="center" wrapText="1"/>
    </xf>
    <xf numFmtId="0" fontId="27" fillId="13" borderId="28" xfId="0" applyFont="1" applyFill="1" applyBorder="1" applyAlignment="1">
      <alignment horizontal="center" vertical="center" wrapText="1"/>
    </xf>
    <xf numFmtId="43" fontId="27" fillId="13" borderId="28" xfId="1" applyFont="1" applyFill="1" applyBorder="1" applyAlignment="1">
      <alignment horizontal="center" vertical="center" wrapText="1"/>
    </xf>
    <xf numFmtId="43" fontId="27" fillId="13" borderId="12" xfId="1" applyFont="1" applyFill="1" applyBorder="1" applyAlignment="1">
      <alignment vertical="center" wrapText="1"/>
    </xf>
    <xf numFmtId="0" fontId="27" fillId="13" borderId="12" xfId="0" applyFont="1" applyFill="1" applyBorder="1" applyAlignment="1">
      <alignment horizontal="center" vertical="center"/>
    </xf>
    <xf numFmtId="0" fontId="27" fillId="13" borderId="28" xfId="0" applyFont="1" applyFill="1" applyBorder="1" applyAlignment="1">
      <alignment horizontal="center" vertical="center"/>
    </xf>
    <xf numFmtId="15" fontId="4" fillId="0" borderId="26" xfId="0" applyNumberFormat="1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43" fontId="4" fillId="2" borderId="20" xfId="1" applyFont="1" applyFill="1" applyBorder="1" applyAlignment="1">
      <alignment vertical="center"/>
    </xf>
    <xf numFmtId="43" fontId="4" fillId="0" borderId="20" xfId="1" applyFont="1" applyFill="1" applyBorder="1" applyAlignment="1">
      <alignment vertical="center"/>
    </xf>
    <xf numFmtId="0" fontId="6" fillId="2" borderId="20" xfId="1" applyNumberFormat="1" applyFont="1" applyFill="1" applyBorder="1" applyAlignment="1">
      <alignment horizontal="center" vertical="center"/>
    </xf>
    <xf numFmtId="43" fontId="0" fillId="2" borderId="20" xfId="1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43" fontId="7" fillId="2" borderId="8" xfId="1" applyFont="1" applyFill="1" applyBorder="1" applyAlignment="1">
      <alignment vertical="center"/>
    </xf>
    <xf numFmtId="43" fontId="15" fillId="2" borderId="8" xfId="1" applyFont="1" applyFill="1" applyBorder="1" applyAlignment="1">
      <alignment vertical="center"/>
    </xf>
    <xf numFmtId="0" fontId="2" fillId="2" borderId="8" xfId="1" applyNumberFormat="1" applyFont="1" applyFill="1" applyBorder="1" applyAlignment="1">
      <alignment horizontal="center" vertical="center"/>
    </xf>
    <xf numFmtId="0" fontId="6" fillId="13" borderId="8" xfId="0" applyFont="1" applyFill="1" applyBorder="1" applyAlignment="1">
      <alignment horizontal="center" vertical="center" wrapText="1"/>
    </xf>
    <xf numFmtId="0" fontId="4" fillId="13" borderId="8" xfId="0" applyFont="1" applyFill="1" applyBorder="1" applyAlignment="1">
      <alignment horizontal="center" vertical="center" wrapText="1"/>
    </xf>
    <xf numFmtId="15" fontId="4" fillId="13" borderId="26" xfId="0" applyNumberFormat="1" applyFont="1" applyFill="1" applyBorder="1" applyAlignment="1">
      <alignment horizontal="center" vertical="center"/>
    </xf>
    <xf numFmtId="0" fontId="2" fillId="13" borderId="5" xfId="0" applyFont="1" applyFill="1" applyBorder="1" applyAlignment="1">
      <alignment vertical="center"/>
    </xf>
    <xf numFmtId="0" fontId="4" fillId="13" borderId="5" xfId="0" applyFont="1" applyFill="1" applyBorder="1" applyAlignment="1">
      <alignment horizontal="center" vertical="center" wrapText="1"/>
    </xf>
    <xf numFmtId="15" fontId="4" fillId="13" borderId="5" xfId="0" applyNumberFormat="1" applyFont="1" applyFill="1" applyBorder="1" applyAlignment="1">
      <alignment horizontal="center" vertical="center"/>
    </xf>
    <xf numFmtId="0" fontId="4" fillId="13" borderId="5" xfId="0" applyFont="1" applyFill="1" applyBorder="1" applyAlignment="1">
      <alignment horizontal="center" vertical="center"/>
    </xf>
    <xf numFmtId="43" fontId="4" fillId="13" borderId="5" xfId="1" applyFont="1" applyFill="1" applyBorder="1" applyAlignment="1">
      <alignment vertical="center"/>
    </xf>
    <xf numFmtId="0" fontId="6" fillId="13" borderId="5" xfId="1" applyNumberFormat="1" applyFont="1" applyFill="1" applyBorder="1" applyAlignment="1">
      <alignment horizontal="center" vertical="center"/>
    </xf>
    <xf numFmtId="0" fontId="2" fillId="13" borderId="8" xfId="0" applyFont="1" applyFill="1" applyBorder="1" applyAlignment="1">
      <alignment vertical="center"/>
    </xf>
    <xf numFmtId="15" fontId="4" fillId="13" borderId="8" xfId="0" applyNumberFormat="1" applyFont="1" applyFill="1" applyBorder="1" applyAlignment="1">
      <alignment horizontal="center" vertical="center"/>
    </xf>
    <xf numFmtId="0" fontId="4" fillId="13" borderId="8" xfId="0" applyFont="1" applyFill="1" applyBorder="1" applyAlignment="1">
      <alignment horizontal="center" vertical="center"/>
    </xf>
    <xf numFmtId="43" fontId="4" fillId="13" borderId="8" xfId="1" applyFont="1" applyFill="1" applyBorder="1" applyAlignment="1">
      <alignment vertical="center"/>
    </xf>
    <xf numFmtId="0" fontId="6" fillId="13" borderId="8" xfId="1" applyNumberFormat="1" applyFont="1" applyFill="1" applyBorder="1" applyAlignment="1">
      <alignment horizontal="center" vertical="center"/>
    </xf>
    <xf numFmtId="43" fontId="0" fillId="13" borderId="8" xfId="1" applyFont="1" applyFill="1" applyBorder="1" applyAlignment="1">
      <alignment vertical="center"/>
    </xf>
    <xf numFmtId="43" fontId="15" fillId="13" borderId="8" xfId="1" applyFont="1" applyFill="1" applyBorder="1" applyAlignment="1">
      <alignment vertical="center"/>
    </xf>
    <xf numFmtId="0" fontId="0" fillId="13" borderId="8" xfId="0" applyFill="1" applyBorder="1" applyAlignment="1">
      <alignment vertical="center"/>
    </xf>
    <xf numFmtId="0" fontId="2" fillId="13" borderId="20" xfId="0" applyFont="1" applyFill="1" applyBorder="1" applyAlignment="1">
      <alignment vertical="center"/>
    </xf>
    <xf numFmtId="0" fontId="4" fillId="13" borderId="20" xfId="0" applyFont="1" applyFill="1" applyBorder="1" applyAlignment="1">
      <alignment horizontal="center" vertical="center" wrapText="1"/>
    </xf>
    <xf numFmtId="15" fontId="4" fillId="13" borderId="20" xfId="0" applyNumberFormat="1" applyFont="1" applyFill="1" applyBorder="1" applyAlignment="1">
      <alignment horizontal="center" vertical="center"/>
    </xf>
    <xf numFmtId="0" fontId="4" fillId="13" borderId="20" xfId="0" applyFont="1" applyFill="1" applyBorder="1" applyAlignment="1">
      <alignment horizontal="center" vertical="center"/>
    </xf>
    <xf numFmtId="43" fontId="4" fillId="13" borderId="20" xfId="1" applyFont="1" applyFill="1" applyBorder="1" applyAlignment="1">
      <alignment vertical="center"/>
    </xf>
    <xf numFmtId="0" fontId="6" fillId="13" borderId="20" xfId="1" applyNumberFormat="1" applyFont="1" applyFill="1" applyBorder="1" applyAlignment="1">
      <alignment horizontal="center" vertical="center"/>
    </xf>
    <xf numFmtId="43" fontId="0" fillId="13" borderId="20" xfId="1" applyFont="1" applyFill="1" applyBorder="1" applyAlignment="1">
      <alignment vertical="center"/>
    </xf>
    <xf numFmtId="43" fontId="0" fillId="13" borderId="19" xfId="1" applyFont="1" applyFill="1" applyBorder="1" applyAlignment="1">
      <alignment vertical="center"/>
    </xf>
    <xf numFmtId="43" fontId="15" fillId="13" borderId="19" xfId="1" applyFont="1" applyFill="1" applyBorder="1" applyAlignment="1">
      <alignment vertical="center"/>
    </xf>
    <xf numFmtId="0" fontId="0" fillId="13" borderId="19" xfId="0" applyFill="1" applyBorder="1" applyAlignment="1">
      <alignment vertical="center"/>
    </xf>
    <xf numFmtId="43" fontId="0" fillId="3" borderId="35" xfId="1" applyFont="1" applyFill="1" applyBorder="1" applyAlignment="1">
      <alignment vertical="center"/>
    </xf>
    <xf numFmtId="43" fontId="15" fillId="3" borderId="37" xfId="1" applyFont="1" applyFill="1" applyBorder="1" applyAlignment="1">
      <alignment vertical="center"/>
    </xf>
    <xf numFmtId="0" fontId="9" fillId="3" borderId="24" xfId="0" applyFont="1" applyFill="1" applyBorder="1" applyAlignment="1">
      <alignment vertical="center"/>
    </xf>
    <xf numFmtId="0" fontId="13" fillId="3" borderId="3" xfId="0" applyFont="1" applyFill="1" applyBorder="1"/>
    <xf numFmtId="43" fontId="0" fillId="3" borderId="30" xfId="1" applyFont="1" applyFill="1" applyBorder="1" applyAlignment="1">
      <alignment vertical="center"/>
    </xf>
    <xf numFmtId="43" fontId="15" fillId="3" borderId="35" xfId="1" applyFont="1" applyFill="1" applyBorder="1" applyAlignment="1">
      <alignment vertical="center"/>
    </xf>
    <xf numFmtId="43" fontId="15" fillId="13" borderId="20" xfId="1" applyFont="1" applyFill="1" applyBorder="1" applyAlignment="1">
      <alignment vertical="center"/>
    </xf>
    <xf numFmtId="0" fontId="0" fillId="13" borderId="20" xfId="0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6" fillId="13" borderId="5" xfId="0" applyFont="1" applyFill="1" applyBorder="1" applyAlignment="1">
      <alignment horizontal="center" vertical="center" wrapText="1"/>
    </xf>
    <xf numFmtId="0" fontId="9" fillId="13" borderId="5" xfId="0" applyFont="1" applyFill="1" applyBorder="1" applyAlignment="1">
      <alignment vertical="center"/>
    </xf>
    <xf numFmtId="0" fontId="11" fillId="13" borderId="5" xfId="0" applyFont="1" applyFill="1" applyBorder="1" applyAlignment="1">
      <alignment horizontal="center" vertical="center" wrapText="1"/>
    </xf>
    <xf numFmtId="15" fontId="11" fillId="13" borderId="5" xfId="0" applyNumberFormat="1" applyFont="1" applyFill="1" applyBorder="1" applyAlignment="1">
      <alignment horizontal="center" vertical="center"/>
    </xf>
    <xf numFmtId="0" fontId="11" fillId="13" borderId="5" xfId="0" applyFont="1" applyFill="1" applyBorder="1" applyAlignment="1">
      <alignment horizontal="center" vertical="center"/>
    </xf>
    <xf numFmtId="43" fontId="11" fillId="13" borderId="5" xfId="1" applyFont="1" applyFill="1" applyBorder="1" applyAlignment="1">
      <alignment vertical="center"/>
    </xf>
    <xf numFmtId="43" fontId="10" fillId="13" borderId="5" xfId="1" applyFont="1" applyFill="1" applyBorder="1" applyAlignment="1">
      <alignment vertical="center"/>
    </xf>
    <xf numFmtId="0" fontId="10" fillId="13" borderId="5" xfId="0" applyFont="1" applyFill="1" applyBorder="1" applyAlignment="1">
      <alignment vertical="center"/>
    </xf>
    <xf numFmtId="43" fontId="2" fillId="13" borderId="5" xfId="1" applyFont="1" applyFill="1" applyBorder="1" applyAlignment="1">
      <alignment vertical="center"/>
    </xf>
    <xf numFmtId="43" fontId="8" fillId="13" borderId="5" xfId="1" applyFont="1" applyFill="1" applyBorder="1" applyAlignment="1">
      <alignment vertical="center"/>
    </xf>
    <xf numFmtId="15" fontId="4" fillId="0" borderId="10" xfId="0" applyNumberFormat="1" applyFont="1" applyBorder="1" applyAlignment="1">
      <alignment horizontal="center" vertical="center"/>
    </xf>
    <xf numFmtId="15" fontId="4" fillId="2" borderId="10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3" fontId="4" fillId="0" borderId="7" xfId="1" applyFont="1" applyFill="1" applyBorder="1" applyAlignment="1">
      <alignment vertical="center"/>
    </xf>
    <xf numFmtId="43" fontId="4" fillId="13" borderId="6" xfId="1" applyFont="1" applyFill="1" applyBorder="1" applyAlignment="1">
      <alignment vertical="center"/>
    </xf>
    <xf numFmtId="43" fontId="4" fillId="13" borderId="7" xfId="1" applyFont="1" applyFill="1" applyBorder="1" applyAlignment="1">
      <alignment vertical="center"/>
    </xf>
    <xf numFmtId="43" fontId="4" fillId="2" borderId="15" xfId="1" applyFont="1" applyFill="1" applyBorder="1" applyAlignment="1">
      <alignment vertical="center"/>
    </xf>
    <xf numFmtId="43" fontId="7" fillId="2" borderId="29" xfId="1" applyFont="1" applyFill="1" applyBorder="1" applyAlignment="1">
      <alignment vertical="center"/>
    </xf>
    <xf numFmtId="43" fontId="4" fillId="13" borderId="21" xfId="1" applyFont="1" applyFill="1" applyBorder="1" applyAlignment="1">
      <alignment vertical="center"/>
    </xf>
    <xf numFmtId="43" fontId="4" fillId="0" borderId="21" xfId="1" applyFont="1" applyFill="1" applyBorder="1" applyAlignment="1">
      <alignment vertical="center"/>
    </xf>
    <xf numFmtId="43" fontId="4" fillId="2" borderId="46" xfId="1" applyFont="1" applyFill="1" applyBorder="1" applyAlignment="1">
      <alignment vertical="center"/>
    </xf>
    <xf numFmtId="43" fontId="7" fillId="2" borderId="47" xfId="1" applyFont="1" applyFill="1" applyBorder="1" applyAlignment="1">
      <alignment vertical="center"/>
    </xf>
    <xf numFmtId="43" fontId="4" fillId="2" borderId="41" xfId="1" applyFont="1" applyFill="1" applyBorder="1" applyAlignment="1">
      <alignment vertical="center"/>
    </xf>
    <xf numFmtId="43" fontId="4" fillId="2" borderId="21" xfId="1" applyFont="1" applyFill="1" applyBorder="1" applyAlignment="1">
      <alignment vertical="center"/>
    </xf>
    <xf numFmtId="43" fontId="8" fillId="0" borderId="7" xfId="1" applyFont="1" applyFill="1" applyBorder="1" applyAlignment="1">
      <alignment vertical="center"/>
    </xf>
    <xf numFmtId="43" fontId="15" fillId="2" borderId="47" xfId="1" applyFont="1" applyFill="1" applyBorder="1" applyAlignment="1">
      <alignment vertical="center"/>
    </xf>
    <xf numFmtId="43" fontId="6" fillId="2" borderId="41" xfId="1" applyFont="1" applyFill="1" applyBorder="1" applyAlignment="1">
      <alignment vertical="center"/>
    </xf>
    <xf numFmtId="0" fontId="6" fillId="2" borderId="7" xfId="1" applyNumberFormat="1" applyFont="1" applyFill="1" applyBorder="1" applyAlignment="1">
      <alignment horizontal="center" vertical="center"/>
    </xf>
    <xf numFmtId="43" fontId="0" fillId="2" borderId="21" xfId="1" applyFont="1" applyFill="1" applyBorder="1" applyAlignment="1">
      <alignment vertical="center"/>
    </xf>
    <xf numFmtId="43" fontId="0" fillId="13" borderId="21" xfId="1" applyFont="1" applyFill="1" applyBorder="1" applyAlignment="1">
      <alignment vertical="center"/>
    </xf>
    <xf numFmtId="43" fontId="0" fillId="2" borderId="46" xfId="1" applyFont="1" applyFill="1" applyBorder="1" applyAlignment="1">
      <alignment vertical="center"/>
    </xf>
    <xf numFmtId="0" fontId="9" fillId="2" borderId="21" xfId="0" applyFont="1" applyFill="1" applyBorder="1" applyAlignment="1">
      <alignment vertical="center"/>
    </xf>
    <xf numFmtId="0" fontId="9" fillId="13" borderId="21" xfId="0" applyFont="1" applyFill="1" applyBorder="1" applyAlignment="1">
      <alignment vertical="center"/>
    </xf>
    <xf numFmtId="43" fontId="0" fillId="3" borderId="21" xfId="1" applyFont="1" applyFill="1" applyBorder="1" applyAlignment="1">
      <alignment vertical="center"/>
    </xf>
    <xf numFmtId="43" fontId="0" fillId="3" borderId="46" xfId="1" applyFont="1" applyFill="1" applyBorder="1" applyAlignment="1">
      <alignment vertical="center"/>
    </xf>
    <xf numFmtId="43" fontId="0" fillId="0" borderId="21" xfId="1" applyFont="1" applyFill="1" applyBorder="1" applyAlignment="1">
      <alignment vertical="center"/>
    </xf>
    <xf numFmtId="43" fontId="15" fillId="3" borderId="7" xfId="1" applyFont="1" applyFill="1" applyBorder="1" applyAlignment="1">
      <alignment vertical="center"/>
    </xf>
    <xf numFmtId="43" fontId="0" fillId="0" borderId="5" xfId="1" applyFont="1" applyFill="1" applyBorder="1" applyAlignment="1">
      <alignment vertical="center"/>
    </xf>
    <xf numFmtId="0" fontId="9" fillId="3" borderId="21" xfId="0" applyFont="1" applyFill="1" applyBorder="1" applyAlignment="1">
      <alignment vertical="center"/>
    </xf>
    <xf numFmtId="0" fontId="0" fillId="13" borderId="21" xfId="0" applyFill="1" applyBorder="1" applyAlignment="1">
      <alignment vertical="center"/>
    </xf>
    <xf numFmtId="0" fontId="9" fillId="3" borderId="46" xfId="0" applyFont="1" applyFill="1" applyBorder="1" applyAlignment="1">
      <alignment vertical="center"/>
    </xf>
    <xf numFmtId="0" fontId="9" fillId="0" borderId="21" xfId="0" applyFont="1" applyBorder="1" applyAlignment="1">
      <alignment vertical="center"/>
    </xf>
    <xf numFmtId="43" fontId="4" fillId="2" borderId="47" xfId="1" applyFont="1" applyFill="1" applyBorder="1" applyAlignment="1">
      <alignment vertical="center"/>
    </xf>
    <xf numFmtId="0" fontId="0" fillId="0" borderId="45" xfId="0" applyBorder="1" applyAlignment="1">
      <alignment vertical="center"/>
    </xf>
    <xf numFmtId="43" fontId="0" fillId="2" borderId="42" xfId="1" applyFont="1" applyFill="1" applyBorder="1" applyAlignment="1">
      <alignment vertical="center"/>
    </xf>
    <xf numFmtId="43" fontId="0" fillId="3" borderId="7" xfId="1" applyFont="1" applyFill="1" applyBorder="1" applyAlignment="1">
      <alignment vertical="center"/>
    </xf>
    <xf numFmtId="43" fontId="7" fillId="13" borderId="5" xfId="1" applyFont="1" applyFill="1" applyBorder="1" applyAlignment="1">
      <alignment vertical="center"/>
    </xf>
    <xf numFmtId="0" fontId="4" fillId="13" borderId="17" xfId="0" applyFont="1" applyFill="1" applyBorder="1" applyAlignment="1">
      <alignment horizontal="center" vertical="center"/>
    </xf>
    <xf numFmtId="43" fontId="0" fillId="0" borderId="6" xfId="1" applyFont="1" applyFill="1" applyBorder="1" applyAlignment="1">
      <alignment vertical="center"/>
    </xf>
    <xf numFmtId="0" fontId="9" fillId="13" borderId="46" xfId="0" applyFont="1" applyFill="1" applyBorder="1" applyAlignment="1">
      <alignment vertical="center"/>
    </xf>
    <xf numFmtId="43" fontId="0" fillId="13" borderId="46" xfId="1" applyFont="1" applyFill="1" applyBorder="1" applyAlignment="1">
      <alignment vertical="center"/>
    </xf>
    <xf numFmtId="43" fontId="0" fillId="13" borderId="47" xfId="1" applyFont="1" applyFill="1" applyBorder="1" applyAlignment="1">
      <alignment vertical="center"/>
    </xf>
    <xf numFmtId="43" fontId="0" fillId="3" borderId="22" xfId="1" applyFont="1" applyFill="1" applyBorder="1" applyAlignment="1">
      <alignment vertical="center"/>
    </xf>
    <xf numFmtId="0" fontId="13" fillId="3" borderId="7" xfId="0" applyFont="1" applyFill="1" applyBorder="1"/>
    <xf numFmtId="0" fontId="13" fillId="3" borderId="5" xfId="0" applyFont="1" applyFill="1" applyBorder="1" applyAlignment="1">
      <alignment vertical="center" wrapText="1"/>
    </xf>
    <xf numFmtId="43" fontId="0" fillId="3" borderId="44" xfId="1" applyFont="1" applyFill="1" applyBorder="1" applyAlignment="1">
      <alignment vertical="center"/>
    </xf>
    <xf numFmtId="0" fontId="13" fillId="3" borderId="17" xfId="0" applyFont="1" applyFill="1" applyBorder="1" applyAlignment="1">
      <alignment vertical="center" wrapText="1"/>
    </xf>
    <xf numFmtId="43" fontId="0" fillId="13" borderId="0" xfId="1" applyFont="1" applyFill="1" applyBorder="1" applyAlignment="1">
      <alignment vertical="center"/>
    </xf>
    <xf numFmtId="0" fontId="9" fillId="13" borderId="0" xfId="0" applyFont="1" applyFill="1" applyAlignment="1">
      <alignment vertical="center"/>
    </xf>
    <xf numFmtId="43" fontId="6" fillId="2" borderId="6" xfId="1" applyFont="1" applyFill="1" applyBorder="1" applyAlignment="1">
      <alignment vertical="center"/>
    </xf>
    <xf numFmtId="43" fontId="4" fillId="2" borderId="29" xfId="1" applyFont="1" applyFill="1" applyBorder="1" applyAlignment="1">
      <alignment vertical="center"/>
    </xf>
    <xf numFmtId="43" fontId="6" fillId="2" borderId="3" xfId="1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6" fillId="0" borderId="5" xfId="1" applyNumberFormat="1" applyFont="1" applyFill="1" applyBorder="1" applyAlignment="1">
      <alignment horizontal="center" vertical="center"/>
    </xf>
    <xf numFmtId="0" fontId="22" fillId="4" borderId="18" xfId="0" applyFont="1" applyFill="1" applyBorder="1" applyAlignment="1">
      <alignment horizontal="center" vertical="center"/>
    </xf>
    <xf numFmtId="0" fontId="22" fillId="5" borderId="36" xfId="0" applyFont="1" applyFill="1" applyBorder="1" applyAlignment="1">
      <alignment horizontal="center" vertical="center"/>
    </xf>
    <xf numFmtId="0" fontId="0" fillId="0" borderId="2" xfId="0" applyBorder="1"/>
    <xf numFmtId="0" fontId="0" fillId="0" borderId="13" xfId="0" applyBorder="1"/>
    <xf numFmtId="0" fontId="0" fillId="0" borderId="27" xfId="0" applyBorder="1"/>
    <xf numFmtId="0" fontId="0" fillId="0" borderId="16" xfId="0" applyBorder="1"/>
    <xf numFmtId="0" fontId="0" fillId="0" borderId="15" xfId="0" applyBorder="1"/>
    <xf numFmtId="0" fontId="13" fillId="0" borderId="16" xfId="0" applyFont="1" applyBorder="1"/>
    <xf numFmtId="43" fontId="22" fillId="4" borderId="36" xfId="1" applyFont="1" applyFill="1" applyBorder="1" applyAlignment="1">
      <alignment vertical="center"/>
    </xf>
    <xf numFmtId="43" fontId="22" fillId="4" borderId="18" xfId="1" applyFont="1" applyFill="1" applyBorder="1" applyAlignment="1">
      <alignment horizontal="center" vertical="center"/>
    </xf>
    <xf numFmtId="43" fontId="4" fillId="13" borderId="5" xfId="1" applyFont="1" applyFill="1" applyBorder="1" applyAlignment="1">
      <alignment horizontal="center" vertical="center" wrapText="1"/>
    </xf>
    <xf numFmtId="43" fontId="4" fillId="9" borderId="5" xfId="1" applyFont="1" applyFill="1" applyBorder="1" applyAlignment="1">
      <alignment vertical="center"/>
    </xf>
    <xf numFmtId="0" fontId="22" fillId="4" borderId="18" xfId="0" applyFont="1" applyFill="1" applyBorder="1" applyAlignment="1">
      <alignment horizontal="right"/>
    </xf>
    <xf numFmtId="0" fontId="22" fillId="4" borderId="18" xfId="0" applyFont="1" applyFill="1" applyBorder="1"/>
    <xf numFmtId="2" fontId="22" fillId="4" borderId="18" xfId="0" applyNumberFormat="1" applyFont="1" applyFill="1" applyBorder="1"/>
    <xf numFmtId="0" fontId="22" fillId="4" borderId="18" xfId="0" applyFont="1" applyFill="1" applyBorder="1" applyAlignment="1">
      <alignment horizontal="center"/>
    </xf>
    <xf numFmtId="0" fontId="22" fillId="4" borderId="36" xfId="0" applyFont="1" applyFill="1" applyBorder="1" applyAlignment="1">
      <alignment horizontal="center"/>
    </xf>
    <xf numFmtId="2" fontId="22" fillId="4" borderId="32" xfId="0" applyNumberFormat="1" applyFont="1" applyFill="1" applyBorder="1" applyAlignment="1">
      <alignment horizontal="center"/>
    </xf>
    <xf numFmtId="2" fontId="22" fillId="4" borderId="34" xfId="0" applyNumberFormat="1" applyFont="1" applyFill="1" applyBorder="1" applyAlignment="1">
      <alignment horizontal="center"/>
    </xf>
    <xf numFmtId="0" fontId="22" fillId="0" borderId="18" xfId="0" applyFont="1" applyBorder="1"/>
    <xf numFmtId="0" fontId="22" fillId="4" borderId="34" xfId="0" applyFont="1" applyFill="1" applyBorder="1" applyAlignment="1">
      <alignment horizontal="center"/>
    </xf>
    <xf numFmtId="0" fontId="22" fillId="0" borderId="37" xfId="0" applyFont="1" applyBorder="1"/>
    <xf numFmtId="0" fontId="22" fillId="4" borderId="43" xfId="0" applyFont="1" applyFill="1" applyBorder="1" applyAlignment="1">
      <alignment horizontal="center"/>
    </xf>
    <xf numFmtId="0" fontId="0" fillId="5" borderId="42" xfId="0" applyFill="1" applyBorder="1"/>
    <xf numFmtId="0" fontId="0" fillId="5" borderId="48" xfId="0" applyFill="1" applyBorder="1"/>
    <xf numFmtId="0" fontId="22" fillId="4" borderId="37" xfId="0" applyFont="1" applyFill="1" applyBorder="1" applyAlignment="1">
      <alignment horizontal="center"/>
    </xf>
    <xf numFmtId="2" fontId="28" fillId="4" borderId="5" xfId="1" applyNumberFormat="1" applyFont="1" applyFill="1" applyBorder="1" applyAlignment="1">
      <alignment horizontal="center" vertical="center"/>
    </xf>
    <xf numFmtId="43" fontId="0" fillId="2" borderId="44" xfId="1" applyFont="1" applyFill="1" applyBorder="1" applyAlignment="1">
      <alignment vertical="center"/>
    </xf>
    <xf numFmtId="0" fontId="6" fillId="14" borderId="8" xfId="0" applyFont="1" applyFill="1" applyBorder="1" applyAlignment="1">
      <alignment horizontal="center" vertical="center" wrapText="1"/>
    </xf>
    <xf numFmtId="0" fontId="4" fillId="14" borderId="8" xfId="0" applyFont="1" applyFill="1" applyBorder="1" applyAlignment="1">
      <alignment horizontal="center" vertical="center" wrapText="1"/>
    </xf>
    <xf numFmtId="15" fontId="4" fillId="14" borderId="26" xfId="0" applyNumberFormat="1" applyFont="1" applyFill="1" applyBorder="1" applyAlignment="1">
      <alignment horizontal="center" vertical="center"/>
    </xf>
    <xf numFmtId="0" fontId="4" fillId="14" borderId="5" xfId="0" applyFont="1" applyFill="1" applyBorder="1" applyAlignment="1">
      <alignment horizontal="center" vertical="center"/>
    </xf>
    <xf numFmtId="43" fontId="4" fillId="14" borderId="5" xfId="1" applyFont="1" applyFill="1" applyBorder="1" applyAlignment="1">
      <alignment vertical="center"/>
    </xf>
    <xf numFmtId="43" fontId="8" fillId="14" borderId="5" xfId="1" applyFont="1" applyFill="1" applyBorder="1" applyAlignment="1">
      <alignment vertical="center"/>
    </xf>
    <xf numFmtId="0" fontId="9" fillId="14" borderId="21" xfId="0" applyFont="1" applyFill="1" applyBorder="1" applyAlignment="1">
      <alignment vertical="center"/>
    </xf>
    <xf numFmtId="0" fontId="9" fillId="14" borderId="5" xfId="0" applyFont="1" applyFill="1" applyBorder="1" applyAlignment="1">
      <alignment vertical="center"/>
    </xf>
    <xf numFmtId="43" fontId="0" fillId="14" borderId="21" xfId="1" applyFont="1" applyFill="1" applyBorder="1" applyAlignment="1">
      <alignment vertical="center"/>
    </xf>
    <xf numFmtId="0" fontId="13" fillId="14" borderId="19" xfId="0" applyFont="1" applyFill="1" applyBorder="1" applyAlignment="1">
      <alignment vertical="center" wrapText="1"/>
    </xf>
    <xf numFmtId="43" fontId="0" fillId="14" borderId="6" xfId="1" applyFont="1" applyFill="1" applyBorder="1" applyAlignment="1">
      <alignment vertical="center"/>
    </xf>
    <xf numFmtId="43" fontId="0" fillId="3" borderId="0" xfId="1" applyFont="1" applyFill="1" applyBorder="1" applyAlignment="1">
      <alignment vertical="center"/>
    </xf>
    <xf numFmtId="43" fontId="0" fillId="3" borderId="49" xfId="1" applyFont="1" applyFill="1" applyBorder="1" applyAlignment="1">
      <alignment vertical="center"/>
    </xf>
    <xf numFmtId="43" fontId="18" fillId="2" borderId="14" xfId="1" applyFont="1" applyFill="1" applyBorder="1" applyAlignment="1">
      <alignment horizontal="center" vertical="center"/>
    </xf>
    <xf numFmtId="43" fontId="18" fillId="2" borderId="16" xfId="1" applyFont="1" applyFill="1" applyBorder="1" applyAlignment="1">
      <alignment horizontal="center" vertical="center"/>
    </xf>
    <xf numFmtId="43" fontId="23" fillId="2" borderId="11" xfId="1" applyFont="1" applyFill="1" applyBorder="1" applyAlignment="1">
      <alignment horizontal="center"/>
    </xf>
    <xf numFmtId="43" fontId="23" fillId="2" borderId="4" xfId="1" applyFont="1" applyFill="1" applyBorder="1" applyAlignment="1">
      <alignment horizontal="center"/>
    </xf>
    <xf numFmtId="0" fontId="15" fillId="10" borderId="20" xfId="1" applyNumberFormat="1" applyFont="1" applyFill="1" applyBorder="1" applyAlignment="1">
      <alignment horizontal="center" vertical="center" wrapText="1"/>
    </xf>
    <xf numFmtId="0" fontId="15" fillId="10" borderId="19" xfId="1" applyNumberFormat="1" applyFont="1" applyFill="1" applyBorder="1" applyAlignment="1">
      <alignment horizontal="center" vertical="center" wrapText="1"/>
    </xf>
    <xf numFmtId="43" fontId="18" fillId="2" borderId="14" xfId="1" applyFont="1" applyFill="1" applyBorder="1" applyAlignment="1">
      <alignment horizontal="right"/>
    </xf>
    <xf numFmtId="43" fontId="18" fillId="2" borderId="15" xfId="1" applyFont="1" applyFill="1" applyBorder="1" applyAlignment="1">
      <alignment horizontal="right"/>
    </xf>
    <xf numFmtId="43" fontId="18" fillId="2" borderId="11" xfId="1" applyFont="1" applyFill="1" applyBorder="1" applyAlignment="1">
      <alignment horizontal="center" vertical="center"/>
    </xf>
    <xf numFmtId="43" fontId="18" fillId="2" borderId="9" xfId="1" applyFont="1" applyFill="1" applyBorder="1" applyAlignment="1">
      <alignment horizontal="center" vertical="center"/>
    </xf>
    <xf numFmtId="43" fontId="18" fillId="2" borderId="14" xfId="1" applyFont="1" applyFill="1" applyBorder="1" applyAlignment="1">
      <alignment horizontal="center"/>
    </xf>
    <xf numFmtId="43" fontId="18" fillId="2" borderId="15" xfId="1" applyFont="1" applyFill="1" applyBorder="1" applyAlignment="1">
      <alignment horizontal="center"/>
    </xf>
    <xf numFmtId="0" fontId="6" fillId="2" borderId="28" xfId="1" applyNumberFormat="1" applyFont="1" applyFill="1" applyBorder="1" applyAlignment="1">
      <alignment horizontal="center" vertical="center"/>
    </xf>
    <xf numFmtId="0" fontId="6" fillId="2" borderId="29" xfId="1" applyNumberFormat="1" applyFont="1" applyFill="1" applyBorder="1" applyAlignment="1">
      <alignment horizontal="center" vertical="center"/>
    </xf>
    <xf numFmtId="43" fontId="17" fillId="2" borderId="12" xfId="1" applyFont="1" applyFill="1" applyBorder="1" applyAlignment="1">
      <alignment horizontal="center" vertical="center"/>
    </xf>
    <xf numFmtId="43" fontId="17" fillId="2" borderId="2" xfId="1" applyFont="1" applyFill="1" applyBorder="1" applyAlignment="1">
      <alignment horizontal="center" vertical="center"/>
    </xf>
    <xf numFmtId="43" fontId="17" fillId="2" borderId="13" xfId="1" applyFont="1" applyFill="1" applyBorder="1" applyAlignment="1">
      <alignment horizontal="center" vertical="center"/>
    </xf>
    <xf numFmtId="164" fontId="18" fillId="2" borderId="11" xfId="1" applyNumberFormat="1" applyFont="1" applyFill="1" applyBorder="1" applyAlignment="1">
      <alignment horizontal="center" vertical="center"/>
    </xf>
    <xf numFmtId="164" fontId="18" fillId="2" borderId="9" xfId="1" applyNumberFormat="1" applyFont="1" applyFill="1" applyBorder="1" applyAlignment="1">
      <alignment horizontal="center" vertical="center"/>
    </xf>
    <xf numFmtId="164" fontId="18" fillId="2" borderId="4" xfId="1" applyNumberFormat="1" applyFont="1" applyFill="1" applyBorder="1" applyAlignment="1">
      <alignment horizontal="center" vertical="center"/>
    </xf>
    <xf numFmtId="0" fontId="21" fillId="5" borderId="11" xfId="0" applyFont="1" applyFill="1" applyBorder="1" applyAlignment="1">
      <alignment horizontal="center" vertical="center" wrapText="1"/>
    </xf>
    <xf numFmtId="0" fontId="21" fillId="5" borderId="9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3" fontId="18" fillId="2" borderId="4" xfId="1" applyFont="1" applyFill="1" applyBorder="1" applyAlignment="1">
      <alignment horizontal="center" vertical="center"/>
    </xf>
    <xf numFmtId="43" fontId="0" fillId="14" borderId="23" xfId="1" applyFont="1" applyFill="1" applyBorder="1" applyAlignment="1">
      <alignment vertical="center"/>
    </xf>
    <xf numFmtId="0" fontId="13" fillId="0" borderId="18" xfId="0" applyFont="1" applyBorder="1"/>
    <xf numFmtId="43" fontId="0" fillId="0" borderId="18" xfId="1" applyFont="1" applyFill="1" applyBorder="1" applyAlignment="1">
      <alignment vertical="center"/>
    </xf>
    <xf numFmtId="43" fontId="0" fillId="14" borderId="49" xfId="1" applyFont="1" applyFill="1" applyBorder="1" applyAlignment="1">
      <alignment vertical="center"/>
    </xf>
    <xf numFmtId="0" fontId="9" fillId="0" borderId="18" xfId="0" applyFont="1" applyBorder="1" applyAlignment="1">
      <alignment vertical="center"/>
    </xf>
    <xf numFmtId="43" fontId="0" fillId="14" borderId="18" xfId="1" applyFont="1" applyFill="1" applyBorder="1" applyAlignment="1">
      <alignment vertical="center"/>
    </xf>
    <xf numFmtId="0" fontId="13" fillId="14" borderId="18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/>
    </xf>
    <xf numFmtId="0" fontId="13" fillId="3" borderId="20" xfId="0" applyFont="1" applyFill="1" applyBorder="1" applyAlignment="1">
      <alignment vertical="center" wrapText="1"/>
    </xf>
    <xf numFmtId="43" fontId="0" fillId="2" borderId="25" xfId="1" applyFont="1" applyFill="1" applyBorder="1" applyAlignment="1">
      <alignment vertical="center"/>
    </xf>
    <xf numFmtId="43" fontId="0" fillId="14" borderId="47" xfId="1" applyFont="1" applyFill="1" applyBorder="1" applyAlignment="1">
      <alignment vertical="center"/>
    </xf>
    <xf numFmtId="43" fontId="0" fillId="14" borderId="50" xfId="1" applyFont="1" applyFill="1" applyBorder="1" applyAlignment="1">
      <alignment vertical="center"/>
    </xf>
    <xf numFmtId="0" fontId="2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cepl/OneDrive/Desktop/27.09.23/Payment%20Reconcilation%20-JANARDHAN%20ORGANIC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axmi/PMC/UP/SWSM-Shamli/Billing/Subcontractor/Shamli%20payment%20reconcillation/Janardhan%20Organic%20Food%20Mill/Janardhan%20Organic%20Food%20Mill%20-%20shaml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 refreshError="1">
        <row r="5">
          <cell r="J5">
            <v>0.01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bined"/>
      <sheetName val="New rate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BH568"/>
  <sheetViews>
    <sheetView tabSelected="1" zoomScaleNormal="100" zoomScaleSheetLayoutView="85" workbookViewId="0">
      <pane ySplit="4" topLeftCell="A533" activePane="bottomLeft" state="frozen"/>
      <selection activeCell="D1" sqref="D1"/>
      <selection pane="bottomLeft" activeCell="E71" sqref="E71"/>
    </sheetView>
  </sheetViews>
  <sheetFormatPr defaultColWidth="9" defaultRowHeight="15" x14ac:dyDescent="0.25"/>
  <cols>
    <col min="1" max="1" width="18" style="1" customWidth="1"/>
    <col min="2" max="2" width="32.5703125" style="2" bestFit="1" customWidth="1"/>
    <col min="3" max="3" width="16.140625" style="2" bestFit="1" customWidth="1"/>
    <col min="4" max="4" width="21" style="2" bestFit="1" customWidth="1"/>
    <col min="5" max="5" width="18" style="7" bestFit="1" customWidth="1"/>
    <col min="6" max="7" width="17.140625" style="7" customWidth="1"/>
    <col min="8" max="8" width="16.5703125" style="7" bestFit="1" customWidth="1"/>
    <col min="9" max="9" width="18" style="7" bestFit="1" customWidth="1"/>
    <col min="10" max="10" width="13.5703125" style="7" customWidth="1"/>
    <col min="11" max="11" width="15.42578125" style="7" bestFit="1" customWidth="1"/>
    <col min="12" max="12" width="14.5703125" style="7" customWidth="1"/>
    <col min="13" max="13" width="14.5703125" style="7" bestFit="1" customWidth="1"/>
    <col min="14" max="14" width="18.5703125" style="7" customWidth="1"/>
    <col min="15" max="15" width="15.42578125" style="7" customWidth="1"/>
    <col min="16" max="16" width="16.85546875" style="7" customWidth="1"/>
    <col min="17" max="17" width="14.85546875" style="179" customWidth="1"/>
    <col min="18" max="18" width="17.5703125" style="7" customWidth="1"/>
    <col min="19" max="19" width="20.85546875" style="7" bestFit="1" customWidth="1"/>
    <col min="20" max="20" width="18" style="7" bestFit="1" customWidth="1"/>
    <col min="21" max="21" width="18" style="111" bestFit="1" customWidth="1"/>
    <col min="22" max="22" width="100.5703125" style="2" customWidth="1"/>
    <col min="23" max="23" width="18.5703125" style="7" customWidth="1"/>
    <col min="24" max="24" width="9" style="13"/>
    <col min="25" max="25" width="18" style="13" customWidth="1"/>
    <col min="26" max="60" width="9" style="13"/>
    <col min="61" max="16384" width="9" style="2"/>
  </cols>
  <sheetData>
    <row r="1" spans="1:60" s="13" customFormat="1" ht="26.25" x14ac:dyDescent="0.25">
      <c r="A1" s="152" t="s">
        <v>572</v>
      </c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66"/>
      <c r="R1" s="144"/>
      <c r="S1" s="144"/>
      <c r="T1" s="144"/>
      <c r="U1" s="145"/>
      <c r="W1" s="144"/>
    </row>
    <row r="2" spans="1:60" s="13" customFormat="1" ht="26.25" x14ac:dyDescent="0.25">
      <c r="A2" s="152" t="s">
        <v>573</v>
      </c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67"/>
      <c r="R2" s="144"/>
      <c r="S2" s="144"/>
      <c r="T2" s="144"/>
      <c r="U2" s="145"/>
      <c r="W2" s="144"/>
    </row>
    <row r="3" spans="1:60" s="13" customFormat="1" ht="15.75" thickBot="1" x14ac:dyDescent="0.3">
      <c r="A3" s="148"/>
      <c r="B3" s="149"/>
      <c r="C3" s="149"/>
      <c r="D3" s="149"/>
      <c r="E3" s="147"/>
      <c r="F3" s="146"/>
      <c r="G3" s="146"/>
      <c r="H3" s="147"/>
      <c r="I3" s="147"/>
      <c r="J3" s="146"/>
      <c r="K3" s="146"/>
      <c r="L3" s="146"/>
      <c r="M3" s="146"/>
      <c r="N3" s="144"/>
      <c r="O3" s="144"/>
      <c r="P3" s="144"/>
      <c r="Q3" s="167"/>
      <c r="R3" s="146"/>
      <c r="S3" s="146"/>
      <c r="T3" s="146"/>
      <c r="U3" s="145"/>
      <c r="V3" s="150"/>
      <c r="W3" s="146"/>
    </row>
    <row r="4" spans="1:60" ht="27.75" thickBot="1" x14ac:dyDescent="0.3">
      <c r="A4" s="57"/>
      <c r="B4" s="66" t="s">
        <v>4</v>
      </c>
      <c r="C4" s="66" t="s">
        <v>5</v>
      </c>
      <c r="D4" s="66" t="s">
        <v>6</v>
      </c>
      <c r="E4" s="69" t="s">
        <v>7</v>
      </c>
      <c r="F4" s="69" t="s">
        <v>8</v>
      </c>
      <c r="G4" s="70" t="s">
        <v>9</v>
      </c>
      <c r="H4" s="68" t="s">
        <v>10</v>
      </c>
      <c r="I4" s="69" t="s">
        <v>11</v>
      </c>
      <c r="J4" s="70" t="s">
        <v>12</v>
      </c>
      <c r="K4" s="70" t="s">
        <v>13</v>
      </c>
      <c r="L4" s="70" t="s">
        <v>14</v>
      </c>
      <c r="M4" s="70" t="s">
        <v>15</v>
      </c>
      <c r="N4" s="70" t="s">
        <v>16</v>
      </c>
      <c r="O4" s="70" t="s">
        <v>166</v>
      </c>
      <c r="P4" s="70" t="s">
        <v>17</v>
      </c>
      <c r="Q4" s="446"/>
      <c r="R4" s="70" t="s">
        <v>564</v>
      </c>
      <c r="S4" s="70" t="s">
        <v>566</v>
      </c>
      <c r="T4" s="389" t="s">
        <v>565</v>
      </c>
      <c r="U4" s="159" t="s">
        <v>19</v>
      </c>
      <c r="V4" s="67" t="s">
        <v>20</v>
      </c>
      <c r="W4" s="70" t="s">
        <v>271</v>
      </c>
    </row>
    <row r="5" spans="1:60" ht="15.75" thickBot="1" x14ac:dyDescent="0.3">
      <c r="A5" s="92"/>
      <c r="B5" s="78"/>
      <c r="C5" s="78"/>
      <c r="D5" s="78"/>
      <c r="E5" s="78"/>
      <c r="F5" s="78"/>
      <c r="G5" s="78"/>
      <c r="H5" s="78">
        <v>0.18</v>
      </c>
      <c r="I5" s="78"/>
      <c r="J5" s="78">
        <v>0.01</v>
      </c>
      <c r="K5" s="78">
        <v>0.05</v>
      </c>
      <c r="L5" s="78">
        <v>0</v>
      </c>
      <c r="M5" s="78">
        <v>0.1</v>
      </c>
      <c r="N5" s="78">
        <v>0.18</v>
      </c>
      <c r="O5" s="78"/>
      <c r="P5" s="78"/>
      <c r="Q5" s="447"/>
      <c r="R5" s="78"/>
      <c r="S5" s="78"/>
      <c r="T5" s="388"/>
      <c r="U5" s="160"/>
      <c r="V5" s="78"/>
      <c r="W5" s="78"/>
    </row>
    <row r="6" spans="1:60" s="29" customFormat="1" x14ac:dyDescent="0.25">
      <c r="A6" s="301">
        <v>51974</v>
      </c>
      <c r="B6" s="304"/>
      <c r="C6" s="304"/>
      <c r="D6" s="304"/>
      <c r="E6" s="304"/>
      <c r="F6" s="304"/>
      <c r="G6" s="304"/>
      <c r="H6" s="304"/>
      <c r="I6" s="304"/>
      <c r="J6" s="304"/>
      <c r="K6" s="304"/>
      <c r="L6" s="304"/>
      <c r="M6" s="304"/>
      <c r="N6" s="304"/>
      <c r="O6" s="304"/>
      <c r="P6" s="304"/>
      <c r="Q6" s="305">
        <f>A6</f>
        <v>51974</v>
      </c>
      <c r="R6" s="304"/>
      <c r="S6" s="304"/>
      <c r="T6" s="304"/>
      <c r="U6" s="307"/>
      <c r="V6" s="304"/>
      <c r="W6" s="304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</row>
    <row r="7" spans="1:60" x14ac:dyDescent="0.25">
      <c r="A7" s="17">
        <v>3675000</v>
      </c>
      <c r="B7" s="31" t="s">
        <v>327</v>
      </c>
      <c r="C7" s="22">
        <v>44962</v>
      </c>
      <c r="D7" s="32">
        <v>15</v>
      </c>
      <c r="E7" s="12">
        <f>2910000*55%</f>
        <v>1600500.0000000002</v>
      </c>
      <c r="F7" s="12">
        <v>1109752.83</v>
      </c>
      <c r="G7" s="220">
        <f>ROUND(E7-F7,)</f>
        <v>490747</v>
      </c>
      <c r="H7" s="220">
        <f>ROUND(G7*$H$5,0)</f>
        <v>88334</v>
      </c>
      <c r="I7" s="12">
        <f>G7+H7</f>
        <v>579081</v>
      </c>
      <c r="J7" s="12">
        <f>ROUND(G7*$J$5,)</f>
        <v>4907</v>
      </c>
      <c r="K7" s="12">
        <f>ROUND(G7*$K$5,)</f>
        <v>24537</v>
      </c>
      <c r="L7" s="12">
        <f>ROUND(G7*$L$5,)</f>
        <v>0</v>
      </c>
      <c r="M7" s="12">
        <f>ROUND(G7*$M$5,)</f>
        <v>49075</v>
      </c>
      <c r="N7" s="223">
        <f>H7</f>
        <v>88334</v>
      </c>
      <c r="O7" s="12"/>
      <c r="P7" s="12">
        <f>ROUND(I7-SUM(J7:N7),0)</f>
        <v>412228</v>
      </c>
      <c r="Q7" s="168"/>
      <c r="R7" s="12">
        <v>3675000</v>
      </c>
      <c r="S7" s="12">
        <f>R7-SUM(T7:T16)</f>
        <v>75000</v>
      </c>
      <c r="T7" s="16">
        <v>500000</v>
      </c>
      <c r="U7" s="113">
        <v>495000</v>
      </c>
      <c r="V7" s="15" t="s">
        <v>22</v>
      </c>
      <c r="W7" s="12">
        <f>SUM(P7:P16)-SUM(U7:U16)</f>
        <v>-1768859</v>
      </c>
    </row>
    <row r="8" spans="1:60" x14ac:dyDescent="0.25">
      <c r="A8" s="17"/>
      <c r="B8" s="31" t="s">
        <v>327</v>
      </c>
      <c r="C8" s="22">
        <v>44998</v>
      </c>
      <c r="D8" s="32">
        <v>25</v>
      </c>
      <c r="E8" s="12">
        <f>(3381796*55%)-E7</f>
        <v>259487.79999999981</v>
      </c>
      <c r="F8" s="12">
        <v>0</v>
      </c>
      <c r="G8" s="220">
        <f>ROUND(E8-F8,)</f>
        <v>259488</v>
      </c>
      <c r="H8" s="220">
        <f>ROUND(G8*$H$5,0)</f>
        <v>46708</v>
      </c>
      <c r="I8" s="12">
        <f>G8+H8</f>
        <v>306196</v>
      </c>
      <c r="J8" s="12">
        <f>ROUND(G8*$J$5,)</f>
        <v>2595</v>
      </c>
      <c r="K8" s="12">
        <f>ROUND(G8*$K$5,)</f>
        <v>12974</v>
      </c>
      <c r="L8" s="12">
        <f>ROUND(G8*$L$5,)</f>
        <v>0</v>
      </c>
      <c r="M8" s="12">
        <f>ROUND(G8*$M$5,)</f>
        <v>25949</v>
      </c>
      <c r="N8" s="223">
        <f>H8</f>
        <v>46708</v>
      </c>
      <c r="O8" s="12"/>
      <c r="P8" s="12">
        <f>ROUND(I8-SUM(J8:N8),0)</f>
        <v>217970</v>
      </c>
      <c r="Q8" s="168" t="s">
        <v>390</v>
      </c>
      <c r="R8" s="12"/>
      <c r="S8" s="12"/>
      <c r="T8" s="16">
        <v>300000</v>
      </c>
      <c r="U8" s="113">
        <v>297000</v>
      </c>
      <c r="V8" s="15" t="s">
        <v>24</v>
      </c>
      <c r="W8" s="12"/>
    </row>
    <row r="9" spans="1:60" x14ac:dyDescent="0.25">
      <c r="A9" s="17" t="s">
        <v>112</v>
      </c>
      <c r="B9" s="31" t="s">
        <v>327</v>
      </c>
      <c r="C9" s="22">
        <v>45139</v>
      </c>
      <c r="D9" s="32" t="s">
        <v>780</v>
      </c>
      <c r="E9" s="12">
        <v>161262.20000000019</v>
      </c>
      <c r="F9" s="12">
        <v>0</v>
      </c>
      <c r="G9" s="220">
        <v>161262</v>
      </c>
      <c r="H9" s="220">
        <v>29027</v>
      </c>
      <c r="I9" s="12">
        <v>190289</v>
      </c>
      <c r="J9" s="12">
        <v>1613</v>
      </c>
      <c r="K9" s="12">
        <v>8063</v>
      </c>
      <c r="L9" s="12">
        <v>0</v>
      </c>
      <c r="M9" s="12">
        <v>16126</v>
      </c>
      <c r="N9" s="223">
        <v>29027</v>
      </c>
      <c r="O9" s="12"/>
      <c r="P9" s="12">
        <v>135460</v>
      </c>
      <c r="Q9" s="168" t="s">
        <v>390</v>
      </c>
      <c r="R9" s="12"/>
      <c r="S9" s="12"/>
      <c r="T9" s="16">
        <v>300000</v>
      </c>
      <c r="U9" s="113">
        <v>297000</v>
      </c>
      <c r="V9" s="15" t="s">
        <v>26</v>
      </c>
      <c r="W9" s="12"/>
    </row>
    <row r="10" spans="1:60" x14ac:dyDescent="0.25">
      <c r="A10" s="17"/>
      <c r="B10" s="31" t="s">
        <v>327</v>
      </c>
      <c r="C10" s="22">
        <v>45341</v>
      </c>
      <c r="D10" s="95">
        <v>67214</v>
      </c>
      <c r="E10" s="12">
        <v>551250</v>
      </c>
      <c r="F10" s="12">
        <v>204707.53</v>
      </c>
      <c r="G10" s="220">
        <f>ROUND(E10-F10,)</f>
        <v>346542</v>
      </c>
      <c r="H10" s="220">
        <f>ROUND(G10*$H$5,0)</f>
        <v>62378</v>
      </c>
      <c r="I10" s="12">
        <f>G10+H10</f>
        <v>408920</v>
      </c>
      <c r="J10" s="12">
        <f>ROUND(G10*$J$5,)</f>
        <v>3465</v>
      </c>
      <c r="K10" s="12">
        <f>ROUND(G10*$K$5,)</f>
        <v>17327</v>
      </c>
      <c r="L10" s="12">
        <f>ROUND(G10*$L$5,)</f>
        <v>0</v>
      </c>
      <c r="M10" s="12">
        <f>ROUND(G10*$M$5,)</f>
        <v>34654</v>
      </c>
      <c r="N10" s="223">
        <f>H10</f>
        <v>62378</v>
      </c>
      <c r="O10" s="12"/>
      <c r="P10" s="12">
        <f>ROUND(I10-SUM(J10:N10),0)</f>
        <v>291096</v>
      </c>
      <c r="Q10" s="169"/>
      <c r="R10" s="12"/>
      <c r="S10" s="12"/>
      <c r="T10" s="16">
        <v>200000</v>
      </c>
      <c r="U10" s="113">
        <v>198000</v>
      </c>
      <c r="V10" s="15" t="s">
        <v>28</v>
      </c>
      <c r="W10" s="12"/>
    </row>
    <row r="11" spans="1:60" x14ac:dyDescent="0.25">
      <c r="A11" s="17"/>
      <c r="B11" s="31" t="s">
        <v>391</v>
      </c>
      <c r="C11" s="22">
        <v>45363</v>
      </c>
      <c r="D11" s="32" t="s">
        <v>446</v>
      </c>
      <c r="E11" s="12">
        <v>367500</v>
      </c>
      <c r="F11" s="12">
        <v>123186</v>
      </c>
      <c r="G11" s="220">
        <f>ROUND(E11-F11,)</f>
        <v>244314</v>
      </c>
      <c r="H11" s="220">
        <f>ROUND(G11*$H$5,0)</f>
        <v>43977</v>
      </c>
      <c r="I11" s="12">
        <f>G11+H11</f>
        <v>288291</v>
      </c>
      <c r="J11" s="12">
        <f>ROUND(G11*$J$5,)</f>
        <v>2443</v>
      </c>
      <c r="K11" s="12">
        <f>ROUND(G11*$K$5,)</f>
        <v>12216</v>
      </c>
      <c r="L11" s="12">
        <f>ROUND(G11*$L$5,)</f>
        <v>0</v>
      </c>
      <c r="M11" s="12">
        <f>ROUND(G11*$M$5,)</f>
        <v>24431</v>
      </c>
      <c r="N11" s="223">
        <f>H11</f>
        <v>43977</v>
      </c>
      <c r="O11" s="12"/>
      <c r="P11" s="12">
        <f>ROUND(I11-SUM(J11:N11),0)</f>
        <v>205224</v>
      </c>
      <c r="Q11" s="169"/>
      <c r="R11" s="12"/>
      <c r="S11" s="12"/>
      <c r="T11" s="16">
        <v>500000</v>
      </c>
      <c r="U11" s="113">
        <v>495000</v>
      </c>
      <c r="V11" s="15" t="s">
        <v>127</v>
      </c>
      <c r="W11" s="12"/>
    </row>
    <row r="12" spans="1:60" s="94" customFormat="1" x14ac:dyDescent="0.25">
      <c r="A12" s="141"/>
      <c r="B12" s="154" t="s">
        <v>575</v>
      </c>
      <c r="C12" s="139"/>
      <c r="D12" s="163" t="s">
        <v>616</v>
      </c>
      <c r="E12" s="18">
        <f>SUM(N7:N11)</f>
        <v>270424</v>
      </c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61">
        <f>E12</f>
        <v>270424</v>
      </c>
      <c r="Q12" s="169"/>
      <c r="R12" s="18"/>
      <c r="S12" s="18"/>
      <c r="T12" s="52">
        <v>500000</v>
      </c>
      <c r="U12" s="113">
        <v>495000</v>
      </c>
      <c r="V12" s="28" t="s">
        <v>213</v>
      </c>
      <c r="W12" s="18"/>
      <c r="X12" s="151"/>
      <c r="Y12" s="151"/>
      <c r="Z12" s="151"/>
      <c r="AA12" s="151"/>
      <c r="AB12" s="151"/>
      <c r="AC12" s="151"/>
      <c r="AD12" s="151"/>
      <c r="AE12" s="13"/>
      <c r="AF12" s="151"/>
      <c r="AG12" s="151"/>
      <c r="AH12" s="151"/>
      <c r="AI12" s="151"/>
      <c r="AJ12" s="151"/>
      <c r="AK12" s="151"/>
      <c r="AL12" s="151"/>
      <c r="AM12" s="151"/>
      <c r="AN12" s="151"/>
      <c r="AO12" s="151"/>
      <c r="AP12" s="151"/>
      <c r="AQ12" s="151"/>
      <c r="AR12" s="151"/>
      <c r="AS12" s="151"/>
      <c r="AT12" s="151"/>
      <c r="AU12" s="151"/>
      <c r="AV12" s="151"/>
      <c r="AW12" s="151"/>
      <c r="AX12" s="151"/>
      <c r="AY12" s="151"/>
      <c r="AZ12" s="151"/>
      <c r="BA12" s="151"/>
      <c r="BB12" s="151"/>
      <c r="BC12" s="151"/>
      <c r="BD12" s="151"/>
      <c r="BE12" s="151"/>
      <c r="BF12" s="151"/>
      <c r="BG12" s="151"/>
      <c r="BH12" s="151"/>
    </row>
    <row r="13" spans="1:60" x14ac:dyDescent="0.25">
      <c r="A13" s="17" t="s">
        <v>671</v>
      </c>
      <c r="B13" s="31" t="s">
        <v>327</v>
      </c>
      <c r="C13" s="22">
        <v>45628</v>
      </c>
      <c r="D13" s="95">
        <v>90</v>
      </c>
      <c r="E13" s="12">
        <v>551250</v>
      </c>
      <c r="F13" s="12">
        <v>316662</v>
      </c>
      <c r="G13" s="220">
        <f>ROUND(E13-F13,)</f>
        <v>234588</v>
      </c>
      <c r="H13" s="220">
        <f>ROUND(G13*$H$5,0)</f>
        <v>42226</v>
      </c>
      <c r="I13" s="12">
        <f>G13+H13</f>
        <v>276814</v>
      </c>
      <c r="J13" s="12">
        <f>ROUND(G13*$J$5,)</f>
        <v>2346</v>
      </c>
      <c r="K13" s="12">
        <f>ROUND(G13*$K$5,)</f>
        <v>11729</v>
      </c>
      <c r="L13" s="12">
        <f>ROUND(G13*$L$5,)</f>
        <v>0</v>
      </c>
      <c r="M13" s="12">
        <v>0</v>
      </c>
      <c r="N13" s="161">
        <f>H13</f>
        <v>42226</v>
      </c>
      <c r="O13" s="12"/>
      <c r="P13" s="12">
        <f>ROUND(I13-SUM(J13:N13),0)</f>
        <v>220513</v>
      </c>
      <c r="Q13" s="170"/>
      <c r="R13" s="12"/>
      <c r="S13" s="12"/>
      <c r="T13" s="16">
        <v>500000</v>
      </c>
      <c r="U13" s="113">
        <v>495000</v>
      </c>
      <c r="V13" s="15" t="s">
        <v>478</v>
      </c>
      <c r="W13" s="12"/>
      <c r="AE13" s="151"/>
    </row>
    <row r="14" spans="1:60" x14ac:dyDescent="0.25">
      <c r="A14" s="17"/>
      <c r="B14" s="31" t="s">
        <v>114</v>
      </c>
      <c r="C14" s="22"/>
      <c r="D14" s="32">
        <v>90</v>
      </c>
      <c r="E14" s="12">
        <f>N13</f>
        <v>42226</v>
      </c>
      <c r="F14" s="12"/>
      <c r="G14" s="12"/>
      <c r="H14" s="41"/>
      <c r="I14" s="12"/>
      <c r="J14" s="12"/>
      <c r="K14" s="12"/>
      <c r="L14" s="12"/>
      <c r="M14" s="12">
        <f>G14*10%</f>
        <v>0</v>
      </c>
      <c r="N14" s="12"/>
      <c r="O14" s="12"/>
      <c r="P14" s="161">
        <f>E14</f>
        <v>42226</v>
      </c>
      <c r="Q14" s="170"/>
      <c r="R14" s="12"/>
      <c r="S14" s="12"/>
      <c r="T14" s="16">
        <v>300000</v>
      </c>
      <c r="U14" s="113">
        <v>297000</v>
      </c>
      <c r="V14" s="15" t="s">
        <v>620</v>
      </c>
      <c r="W14" s="12"/>
    </row>
    <row r="15" spans="1:60" x14ac:dyDescent="0.25">
      <c r="A15" s="17"/>
      <c r="B15" s="31"/>
      <c r="C15" s="22"/>
      <c r="D15" s="3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70"/>
      <c r="R15" s="12"/>
      <c r="S15" s="12"/>
      <c r="T15" s="16">
        <v>500000</v>
      </c>
      <c r="U15" s="113">
        <v>495000</v>
      </c>
      <c r="V15" s="15" t="s">
        <v>647</v>
      </c>
      <c r="W15" s="12"/>
    </row>
    <row r="16" spans="1:60" x14ac:dyDescent="0.25">
      <c r="A16" s="17"/>
      <c r="B16" s="31"/>
      <c r="C16" s="22"/>
      <c r="D16" s="3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70"/>
      <c r="R16" s="12"/>
      <c r="S16" s="12"/>
      <c r="T16" s="12"/>
      <c r="U16" s="61"/>
      <c r="V16" s="14"/>
      <c r="W16" s="12"/>
    </row>
    <row r="17" spans="1:23" x14ac:dyDescent="0.25">
      <c r="A17" s="295">
        <v>52281</v>
      </c>
      <c r="B17" s="296"/>
      <c r="C17" s="297"/>
      <c r="D17" s="298"/>
      <c r="E17" s="299"/>
      <c r="F17" s="299"/>
      <c r="G17" s="299"/>
      <c r="H17" s="299"/>
      <c r="I17" s="299"/>
      <c r="J17" s="299"/>
      <c r="K17" s="299"/>
      <c r="L17" s="299"/>
      <c r="M17" s="299"/>
      <c r="N17" s="299"/>
      <c r="O17" s="299"/>
      <c r="P17" s="299"/>
      <c r="Q17" s="300">
        <f>A17</f>
        <v>52281</v>
      </c>
      <c r="R17" s="299"/>
      <c r="S17" s="299"/>
      <c r="T17" s="299"/>
      <c r="U17" s="260"/>
      <c r="V17" s="261"/>
      <c r="W17" s="299"/>
    </row>
    <row r="18" spans="1:23" x14ac:dyDescent="0.25">
      <c r="A18" s="17">
        <v>3675000</v>
      </c>
      <c r="B18" s="31" t="s">
        <v>328</v>
      </c>
      <c r="C18" s="22">
        <v>44964</v>
      </c>
      <c r="D18" s="32">
        <v>16</v>
      </c>
      <c r="E18" s="12">
        <f>2910000*40%</f>
        <v>1164000</v>
      </c>
      <c r="F18" s="12">
        <v>621197.93000000005</v>
      </c>
      <c r="G18" s="220">
        <f>ROUND(E18-F18,)</f>
        <v>542802</v>
      </c>
      <c r="H18" s="220">
        <f>ROUND(G18*$H$5,0)</f>
        <v>97704</v>
      </c>
      <c r="I18" s="12">
        <f>G18+H18</f>
        <v>640506</v>
      </c>
      <c r="J18" s="12">
        <f>ROUND(G18*$J$5,)</f>
        <v>5428</v>
      </c>
      <c r="K18" s="12">
        <f>ROUND(G18*$K$5,)</f>
        <v>27140</v>
      </c>
      <c r="L18" s="12">
        <f>ROUND(G18*$L$5,)</f>
        <v>0</v>
      </c>
      <c r="M18" s="12">
        <f>ROUND(G18*$M$5,)</f>
        <v>54280</v>
      </c>
      <c r="N18" s="223">
        <f>H18</f>
        <v>97704</v>
      </c>
      <c r="O18" s="12"/>
      <c r="P18" s="12">
        <f>ROUND(I18-SUM(J18:N18),0)</f>
        <v>455954</v>
      </c>
      <c r="Q18" s="168"/>
      <c r="R18" s="12">
        <v>3675000</v>
      </c>
      <c r="S18" s="12">
        <f>R18-SUM(T18:T28)</f>
        <v>-175000</v>
      </c>
      <c r="T18" s="16">
        <v>300000</v>
      </c>
      <c r="U18" s="113">
        <f t="shared" ref="U18:U23" si="0">T18-1%*T18</f>
        <v>297000</v>
      </c>
      <c r="V18" s="15" t="s">
        <v>30</v>
      </c>
      <c r="W18" s="12">
        <f>SUM(P18:P28)-SUM(U18:U28)</f>
        <v>-1779178.42</v>
      </c>
    </row>
    <row r="19" spans="1:23" x14ac:dyDescent="0.25">
      <c r="A19" s="17"/>
      <c r="B19" s="31" t="s">
        <v>328</v>
      </c>
      <c r="C19" s="22">
        <v>44970</v>
      </c>
      <c r="D19" s="32">
        <v>26</v>
      </c>
      <c r="E19" s="12">
        <f>(3381796*40%)-E18</f>
        <v>188718.40000000014</v>
      </c>
      <c r="F19" s="12">
        <v>0</v>
      </c>
      <c r="G19" s="220">
        <f>ROUND(E19-F19,)</f>
        <v>188718</v>
      </c>
      <c r="H19" s="220">
        <f>ROUND(G19*$H$5,0)</f>
        <v>33969</v>
      </c>
      <c r="I19" s="12">
        <f>G19+H19</f>
        <v>222687</v>
      </c>
      <c r="J19" s="12">
        <f>ROUND(G19*$J$5,)</f>
        <v>1887</v>
      </c>
      <c r="K19" s="12">
        <f>ROUND(G19*$K$5,)</f>
        <v>9436</v>
      </c>
      <c r="L19" s="12">
        <f>ROUND(G19*$L$5,)</f>
        <v>0</v>
      </c>
      <c r="M19" s="12">
        <f>ROUND(G19*$M$5,)</f>
        <v>18872</v>
      </c>
      <c r="N19" s="96">
        <f>H19</f>
        <v>33969</v>
      </c>
      <c r="O19" s="12"/>
      <c r="P19" s="12">
        <f>ROUND(I19-SUM(J19:N19),0)</f>
        <v>158523</v>
      </c>
      <c r="Q19" s="168" t="s">
        <v>392</v>
      </c>
      <c r="R19" s="12"/>
      <c r="S19" s="12"/>
      <c r="T19" s="16">
        <v>600000</v>
      </c>
      <c r="U19" s="113">
        <f t="shared" si="0"/>
        <v>594000</v>
      </c>
      <c r="V19" s="15" t="s">
        <v>32</v>
      </c>
      <c r="W19" s="12"/>
    </row>
    <row r="20" spans="1:23" x14ac:dyDescent="0.25">
      <c r="A20" s="17" t="s">
        <v>111</v>
      </c>
      <c r="B20" s="31" t="s">
        <v>328</v>
      </c>
      <c r="C20" s="22">
        <v>45139</v>
      </c>
      <c r="D20" s="32" t="s">
        <v>393</v>
      </c>
      <c r="E20" s="12">
        <v>117281.59999999986</v>
      </c>
      <c r="F20" s="12">
        <v>0</v>
      </c>
      <c r="G20" s="220">
        <v>117282</v>
      </c>
      <c r="H20" s="220">
        <v>21111</v>
      </c>
      <c r="I20" s="12">
        <v>138393</v>
      </c>
      <c r="J20" s="12">
        <v>1173</v>
      </c>
      <c r="K20" s="12">
        <v>5864</v>
      </c>
      <c r="L20" s="12">
        <v>0</v>
      </c>
      <c r="M20" s="12">
        <v>11728</v>
      </c>
      <c r="N20" s="96">
        <v>21111</v>
      </c>
      <c r="O20" s="12"/>
      <c r="P20" s="12">
        <v>98517</v>
      </c>
      <c r="Q20" s="168" t="s">
        <v>392</v>
      </c>
      <c r="R20" s="12"/>
      <c r="S20" s="12"/>
      <c r="T20" s="16">
        <v>300000</v>
      </c>
      <c r="U20" s="113">
        <f t="shared" si="0"/>
        <v>297000</v>
      </c>
      <c r="V20" s="15" t="s">
        <v>34</v>
      </c>
      <c r="W20" s="12"/>
    </row>
    <row r="21" spans="1:23" x14ac:dyDescent="0.25">
      <c r="A21" s="17"/>
      <c r="B21" s="31" t="s">
        <v>328</v>
      </c>
      <c r="C21" s="22">
        <v>45417</v>
      </c>
      <c r="D21" s="32" t="s">
        <v>497</v>
      </c>
      <c r="E21" s="12">
        <v>551250</v>
      </c>
      <c r="F21" s="12">
        <v>178849</v>
      </c>
      <c r="G21" s="220">
        <f>E21-F21</f>
        <v>372401</v>
      </c>
      <c r="H21" s="220">
        <f>G21*18%</f>
        <v>67032.179999999993</v>
      </c>
      <c r="I21" s="12">
        <f>G21+H21</f>
        <v>439433.18</v>
      </c>
      <c r="J21" s="12">
        <f>G21*1%</f>
        <v>3724.01</v>
      </c>
      <c r="K21" s="12">
        <f>G21*5%</f>
        <v>18620.05</v>
      </c>
      <c r="L21" s="12"/>
      <c r="M21" s="12">
        <f>G21*10%</f>
        <v>37240.1</v>
      </c>
      <c r="N21" s="223">
        <f>H21</f>
        <v>67032.179999999993</v>
      </c>
      <c r="O21" s="12"/>
      <c r="P21" s="12">
        <f>G21-J21-K21-M21</f>
        <v>312816.84000000003</v>
      </c>
      <c r="Q21" s="168"/>
      <c r="R21" s="12"/>
      <c r="S21" s="12"/>
      <c r="T21" s="16">
        <v>200000</v>
      </c>
      <c r="U21" s="113">
        <f t="shared" si="0"/>
        <v>198000</v>
      </c>
      <c r="V21" s="15" t="s">
        <v>36</v>
      </c>
      <c r="W21" s="12"/>
    </row>
    <row r="22" spans="1:23" x14ac:dyDescent="0.25">
      <c r="A22" s="17"/>
      <c r="B22" s="31" t="s">
        <v>328</v>
      </c>
      <c r="C22" s="22">
        <v>45422</v>
      </c>
      <c r="D22" s="32" t="s">
        <v>498</v>
      </c>
      <c r="E22" s="12">
        <v>551250</v>
      </c>
      <c r="F22" s="12">
        <v>160775</v>
      </c>
      <c r="G22" s="220">
        <f>E22-F22</f>
        <v>390475</v>
      </c>
      <c r="H22" s="220">
        <f>G22*18%</f>
        <v>70285.5</v>
      </c>
      <c r="I22" s="12">
        <f>G22+H22</f>
        <v>460760.5</v>
      </c>
      <c r="J22" s="12">
        <f>G22*1%</f>
        <v>3904.75</v>
      </c>
      <c r="K22" s="12">
        <f>G22*5%</f>
        <v>19523.75</v>
      </c>
      <c r="L22" s="12"/>
      <c r="M22" s="12">
        <f>G22*10%</f>
        <v>39047.5</v>
      </c>
      <c r="N22" s="223">
        <f>H22</f>
        <v>70285.5</v>
      </c>
      <c r="O22" s="12"/>
      <c r="P22" s="12">
        <f>G22-J22-K22-M22</f>
        <v>327999</v>
      </c>
      <c r="Q22" s="168"/>
      <c r="R22" s="12"/>
      <c r="S22" s="12"/>
      <c r="T22" s="16">
        <v>500000</v>
      </c>
      <c r="U22" s="113">
        <f t="shared" si="0"/>
        <v>495000</v>
      </c>
      <c r="V22" s="15" t="s">
        <v>56</v>
      </c>
      <c r="W22" s="12"/>
    </row>
    <row r="23" spans="1:23" x14ac:dyDescent="0.25">
      <c r="A23" s="17"/>
      <c r="B23" s="31" t="s">
        <v>391</v>
      </c>
      <c r="C23" s="22">
        <v>45468</v>
      </c>
      <c r="D23" s="32" t="s">
        <v>499</v>
      </c>
      <c r="E23" s="12">
        <v>367500</v>
      </c>
      <c r="F23" s="12">
        <v>127837</v>
      </c>
      <c r="G23" s="220">
        <f>E23-F23</f>
        <v>239663</v>
      </c>
      <c r="H23" s="220">
        <f>G23*18%</f>
        <v>43139.34</v>
      </c>
      <c r="I23" s="12">
        <f>G23+H23</f>
        <v>282802.33999999997</v>
      </c>
      <c r="J23" s="12">
        <f>G23*1%</f>
        <v>2396.63</v>
      </c>
      <c r="K23" s="12">
        <f>G23*5%</f>
        <v>11983.150000000001</v>
      </c>
      <c r="L23" s="12"/>
      <c r="M23" s="12"/>
      <c r="N23" s="223">
        <f>H23</f>
        <v>43139.34</v>
      </c>
      <c r="O23" s="12">
        <v>183750</v>
      </c>
      <c r="P23" s="12">
        <f>G23-J23-K23-M23-O23</f>
        <v>41533.22</v>
      </c>
      <c r="Q23" s="168"/>
      <c r="R23" s="12"/>
      <c r="S23" s="12"/>
      <c r="T23" s="16">
        <v>300000</v>
      </c>
      <c r="U23" s="113">
        <f t="shared" si="0"/>
        <v>297000</v>
      </c>
      <c r="V23" s="15" t="s">
        <v>71</v>
      </c>
      <c r="W23" s="12"/>
    </row>
    <row r="24" spans="1:23" x14ac:dyDescent="0.25">
      <c r="A24" s="17"/>
      <c r="B24" s="31" t="s">
        <v>114</v>
      </c>
      <c r="C24" s="22"/>
      <c r="D24" s="32" t="s">
        <v>593</v>
      </c>
      <c r="E24" s="12">
        <f>SUM(N18:N23)</f>
        <v>333241.02</v>
      </c>
      <c r="F24" s="12"/>
      <c r="G24" s="12"/>
      <c r="H24" s="41"/>
      <c r="I24" s="12"/>
      <c r="J24" s="12"/>
      <c r="K24" s="12"/>
      <c r="L24" s="12"/>
      <c r="M24" s="12">
        <f>G24*10%</f>
        <v>0</v>
      </c>
      <c r="N24" s="12"/>
      <c r="O24" s="12"/>
      <c r="P24" s="161">
        <f>E24</f>
        <v>333241.02</v>
      </c>
      <c r="Q24" s="168"/>
      <c r="R24" s="12"/>
      <c r="S24" s="12"/>
      <c r="T24" s="16">
        <v>500000</v>
      </c>
      <c r="U24" s="113">
        <f>T24-1%*T24</f>
        <v>495000</v>
      </c>
      <c r="V24" s="15" t="s">
        <v>215</v>
      </c>
      <c r="W24" s="12"/>
    </row>
    <row r="25" spans="1:23" x14ac:dyDescent="0.25">
      <c r="A25" s="17"/>
      <c r="B25" s="31" t="s">
        <v>328</v>
      </c>
      <c r="C25" s="22">
        <v>45544</v>
      </c>
      <c r="D25" s="32">
        <v>81</v>
      </c>
      <c r="E25" s="12">
        <v>183750</v>
      </c>
      <c r="F25" s="12"/>
      <c r="G25" s="220">
        <f>E25-F25</f>
        <v>183750</v>
      </c>
      <c r="H25" s="220">
        <f>G25*18%</f>
        <v>33075</v>
      </c>
      <c r="I25" s="12">
        <f>G25+H25</f>
        <v>216825</v>
      </c>
      <c r="J25" s="12">
        <f>G25*1%</f>
        <v>1837.5</v>
      </c>
      <c r="K25" s="12">
        <f>G25*5%</f>
        <v>9187.5</v>
      </c>
      <c r="L25" s="12"/>
      <c r="M25" s="12"/>
      <c r="N25" s="161">
        <f>H25</f>
        <v>33075</v>
      </c>
      <c r="O25" s="12">
        <f>7%*G25</f>
        <v>12862.500000000002</v>
      </c>
      <c r="P25" s="12">
        <f>G25-J25-K25-M25-O25</f>
        <v>159862.5</v>
      </c>
      <c r="Q25" s="168"/>
      <c r="R25" s="12"/>
      <c r="S25" s="12"/>
      <c r="T25" s="16">
        <v>250000</v>
      </c>
      <c r="U25" s="113">
        <f>T25-1%*T25</f>
        <v>247500</v>
      </c>
      <c r="V25" s="15" t="s">
        <v>249</v>
      </c>
      <c r="W25" s="12"/>
    </row>
    <row r="26" spans="1:23" x14ac:dyDescent="0.25">
      <c r="A26" s="17"/>
      <c r="B26" s="31" t="s">
        <v>114</v>
      </c>
      <c r="C26" s="22"/>
      <c r="D26" s="32">
        <v>81</v>
      </c>
      <c r="E26" s="12">
        <f>N25</f>
        <v>33075</v>
      </c>
      <c r="F26" s="12"/>
      <c r="G26" s="12"/>
      <c r="H26" s="41"/>
      <c r="I26" s="12"/>
      <c r="J26" s="12"/>
      <c r="K26" s="12"/>
      <c r="L26" s="12"/>
      <c r="M26" s="12">
        <f>G26*10%</f>
        <v>0</v>
      </c>
      <c r="N26" s="12"/>
      <c r="O26" s="12"/>
      <c r="P26" s="161">
        <f>E26</f>
        <v>33075</v>
      </c>
      <c r="Q26" s="168"/>
      <c r="R26" s="12"/>
      <c r="S26" s="12"/>
      <c r="T26" s="16">
        <v>300000</v>
      </c>
      <c r="U26" s="113">
        <v>297000</v>
      </c>
      <c r="V26" s="15" t="s">
        <v>618</v>
      </c>
      <c r="W26" s="12"/>
    </row>
    <row r="27" spans="1:23" x14ac:dyDescent="0.25">
      <c r="A27" s="17"/>
      <c r="B27" s="31" t="s">
        <v>328</v>
      </c>
      <c r="C27" s="22">
        <v>45711</v>
      </c>
      <c r="D27" s="32">
        <v>152</v>
      </c>
      <c r="E27" s="12">
        <v>551250</v>
      </c>
      <c r="F27" s="12"/>
      <c r="G27" s="220">
        <f>E27-F27</f>
        <v>551250</v>
      </c>
      <c r="H27" s="220">
        <f>G27*18%</f>
        <v>99225</v>
      </c>
      <c r="I27" s="12">
        <f>G27+H27</f>
        <v>650475</v>
      </c>
      <c r="J27" s="12">
        <f>G27*1%</f>
        <v>5512.5</v>
      </c>
      <c r="K27" s="12">
        <f>G27*5%</f>
        <v>27562.5</v>
      </c>
      <c r="L27" s="12"/>
      <c r="M27" s="12"/>
      <c r="N27" s="161">
        <f>H27</f>
        <v>99225</v>
      </c>
      <c r="O27" s="12">
        <v>407375</v>
      </c>
      <c r="P27" s="12">
        <f>G27-J27-K27-M27-O27</f>
        <v>110800</v>
      </c>
      <c r="Q27" s="168"/>
      <c r="R27" s="12"/>
      <c r="S27" s="12"/>
      <c r="T27" s="16">
        <v>300000</v>
      </c>
      <c r="U27" s="113">
        <v>297000</v>
      </c>
      <c r="V27" s="15" t="s">
        <v>619</v>
      </c>
      <c r="W27" s="12"/>
    </row>
    <row r="28" spans="1:23" x14ac:dyDescent="0.25">
      <c r="A28" s="17"/>
      <c r="B28" s="31"/>
      <c r="C28" s="22"/>
      <c r="D28" s="3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68"/>
      <c r="R28" s="12"/>
      <c r="S28" s="12"/>
      <c r="T28" s="16">
        <v>300000</v>
      </c>
      <c r="U28" s="113">
        <v>297000</v>
      </c>
      <c r="V28" s="15" t="s">
        <v>622</v>
      </c>
      <c r="W28" s="12"/>
    </row>
    <row r="29" spans="1:23" x14ac:dyDescent="0.25">
      <c r="A29" s="295">
        <v>52472</v>
      </c>
      <c r="B29" s="296"/>
      <c r="C29" s="297"/>
      <c r="D29" s="298"/>
      <c r="E29" s="299"/>
      <c r="F29" s="299"/>
      <c r="G29" s="299"/>
      <c r="H29" s="299"/>
      <c r="I29" s="299"/>
      <c r="J29" s="299"/>
      <c r="K29" s="299"/>
      <c r="L29" s="299"/>
      <c r="M29" s="299"/>
      <c r="N29" s="299"/>
      <c r="O29" s="299"/>
      <c r="P29" s="299"/>
      <c r="Q29" s="300">
        <f>A29</f>
        <v>52472</v>
      </c>
      <c r="R29" s="299"/>
      <c r="S29" s="299"/>
      <c r="T29" s="299"/>
      <c r="U29" s="260"/>
      <c r="V29" s="261"/>
      <c r="W29" s="299"/>
    </row>
    <row r="30" spans="1:23" x14ac:dyDescent="0.25">
      <c r="A30" s="17">
        <v>3675000</v>
      </c>
      <c r="B30" s="31" t="s">
        <v>331</v>
      </c>
      <c r="C30" s="22">
        <v>44961</v>
      </c>
      <c r="D30" s="32">
        <v>14</v>
      </c>
      <c r="E30" s="12">
        <f>2910000*40%</f>
        <v>1164000</v>
      </c>
      <c r="F30" s="12">
        <v>547489.22</v>
      </c>
      <c r="G30" s="220">
        <f>ROUND(E30-F30,)</f>
        <v>616511</v>
      </c>
      <c r="H30" s="220">
        <f>ROUND(G30*$H$5,0)</f>
        <v>110972</v>
      </c>
      <c r="I30" s="12">
        <f>G30+H30</f>
        <v>727483</v>
      </c>
      <c r="J30" s="12">
        <f>ROUND(G30*$J$5,)</f>
        <v>6165</v>
      </c>
      <c r="K30" s="12">
        <f>ROUND(G30*$K$5,)</f>
        <v>30826</v>
      </c>
      <c r="L30" s="12">
        <f>ROUND(G30*$L$5,)</f>
        <v>0</v>
      </c>
      <c r="M30" s="12">
        <f>ROUND(G30*$M$5,)</f>
        <v>61651</v>
      </c>
      <c r="N30" s="223">
        <f>H30</f>
        <v>110972</v>
      </c>
      <c r="O30" s="12"/>
      <c r="P30" s="12">
        <f t="shared" ref="P30:P35" si="1">I30-SUM(J30:O30)</f>
        <v>517869</v>
      </c>
      <c r="Q30" s="168"/>
      <c r="R30" s="12">
        <v>3675000</v>
      </c>
      <c r="S30" s="12">
        <f>R30-SUM(T30:T40)</f>
        <v>25000</v>
      </c>
      <c r="T30" s="16">
        <v>300000</v>
      </c>
      <c r="U30" s="113">
        <f>T30-1%*T30</f>
        <v>297000</v>
      </c>
      <c r="V30" s="15" t="s">
        <v>38</v>
      </c>
      <c r="W30" s="12">
        <f>SUM(P30:P40)-SUM(U30:U40)</f>
        <v>-1744253.075</v>
      </c>
    </row>
    <row r="31" spans="1:23" x14ac:dyDescent="0.25">
      <c r="A31" s="17"/>
      <c r="B31" s="31"/>
      <c r="C31" s="22">
        <v>44998</v>
      </c>
      <c r="D31" s="32">
        <v>24</v>
      </c>
      <c r="E31" s="12">
        <f>(3381796*40%)-E30</f>
        <v>188718.40000000014</v>
      </c>
      <c r="F31" s="12">
        <v>0</v>
      </c>
      <c r="G31" s="220">
        <f>ROUND(E31-F31,)</f>
        <v>188718</v>
      </c>
      <c r="H31" s="220">
        <f>ROUND(G31*$H$5,0)</f>
        <v>33969</v>
      </c>
      <c r="I31" s="12">
        <f>G31+H31</f>
        <v>222687</v>
      </c>
      <c r="J31" s="12">
        <f>ROUND(G31*$J$5,)</f>
        <v>1887</v>
      </c>
      <c r="K31" s="12">
        <f>ROUND(G31*$K$5,)</f>
        <v>9436</v>
      </c>
      <c r="L31" s="12">
        <f>ROUND(G31*$L$5,)</f>
        <v>0</v>
      </c>
      <c r="M31" s="12">
        <f>ROUND(G31*$M$5,)</f>
        <v>18872</v>
      </c>
      <c r="N31" s="223">
        <f>H31</f>
        <v>33969</v>
      </c>
      <c r="O31" s="12"/>
      <c r="P31" s="12">
        <f t="shared" si="1"/>
        <v>158523</v>
      </c>
      <c r="Q31" s="168" t="s">
        <v>394</v>
      </c>
      <c r="R31" s="12"/>
      <c r="S31" s="12"/>
      <c r="T31" s="16">
        <v>500000</v>
      </c>
      <c r="U31" s="113">
        <f t="shared" ref="U31:U36" si="2">T31-1%*T31</f>
        <v>495000</v>
      </c>
      <c r="V31" s="15" t="s">
        <v>40</v>
      </c>
      <c r="W31" s="12"/>
    </row>
    <row r="32" spans="1:23" x14ac:dyDescent="0.25">
      <c r="A32" s="17"/>
      <c r="B32" s="31"/>
      <c r="C32" s="22">
        <v>45069</v>
      </c>
      <c r="D32" s="32">
        <v>14</v>
      </c>
      <c r="E32" s="12">
        <f>(3381796*55%)-E31-E30</f>
        <v>507269.39999999991</v>
      </c>
      <c r="F32" s="12">
        <v>126611</v>
      </c>
      <c r="G32" s="220">
        <f>ROUND(E32-F32,)</f>
        <v>380658</v>
      </c>
      <c r="H32" s="220">
        <f>ROUND(G32*$H$5,0)</f>
        <v>68518</v>
      </c>
      <c r="I32" s="12">
        <f>G32+H32</f>
        <v>449176</v>
      </c>
      <c r="J32" s="12">
        <f>ROUND(G32*$J$5,)</f>
        <v>3807</v>
      </c>
      <c r="K32" s="12">
        <f>ROUND(G32*$K$5,)</f>
        <v>19033</v>
      </c>
      <c r="L32" s="12">
        <f>ROUND(G32*$L$5,)</f>
        <v>0</v>
      </c>
      <c r="M32" s="12">
        <f>ROUND(G32*$M$5,)</f>
        <v>38066</v>
      </c>
      <c r="N32" s="223">
        <f>H32</f>
        <v>68518</v>
      </c>
      <c r="O32" s="12"/>
      <c r="P32" s="12">
        <f t="shared" si="1"/>
        <v>319752</v>
      </c>
      <c r="Q32" s="168" t="s">
        <v>394</v>
      </c>
      <c r="R32" s="12"/>
      <c r="S32" s="12"/>
      <c r="T32" s="16">
        <v>300000</v>
      </c>
      <c r="U32" s="113">
        <f t="shared" si="2"/>
        <v>297000</v>
      </c>
      <c r="V32" s="15" t="s">
        <v>62</v>
      </c>
      <c r="W32" s="12"/>
    </row>
    <row r="33" spans="1:23" x14ac:dyDescent="0.25">
      <c r="A33" s="17"/>
      <c r="B33" s="31"/>
      <c r="C33" s="22">
        <v>45060</v>
      </c>
      <c r="D33" s="32">
        <v>13</v>
      </c>
      <c r="E33" s="12">
        <v>507269.4</v>
      </c>
      <c r="F33" s="12">
        <v>358681</v>
      </c>
      <c r="G33" s="220">
        <f>ROUND(E33-F33,)</f>
        <v>148588</v>
      </c>
      <c r="H33" s="220">
        <f>ROUND(G33*$H$5,0)</f>
        <v>26746</v>
      </c>
      <c r="I33" s="12">
        <f>G33+H33</f>
        <v>175334</v>
      </c>
      <c r="J33" s="12">
        <f>ROUND(G33*$J$5,)</f>
        <v>1486</v>
      </c>
      <c r="K33" s="12">
        <f>ROUND(G33*$K$5,)</f>
        <v>7429</v>
      </c>
      <c r="L33" s="12">
        <f>ROUND(G33*$L$5,)</f>
        <v>0</v>
      </c>
      <c r="M33" s="12">
        <f>ROUND(G33*$M$5,)</f>
        <v>14859</v>
      </c>
      <c r="N33" s="223">
        <f>H33</f>
        <v>26746</v>
      </c>
      <c r="O33" s="12"/>
      <c r="P33" s="12">
        <f t="shared" si="1"/>
        <v>124814</v>
      </c>
      <c r="Q33" s="168" t="s">
        <v>394</v>
      </c>
      <c r="R33" s="12"/>
      <c r="S33" s="12"/>
      <c r="T33" s="16">
        <v>150000</v>
      </c>
      <c r="U33" s="113">
        <f t="shared" si="2"/>
        <v>148500</v>
      </c>
      <c r="V33" s="15" t="s">
        <v>64</v>
      </c>
      <c r="W33" s="12"/>
    </row>
    <row r="34" spans="1:23" x14ac:dyDescent="0.25">
      <c r="A34" s="17"/>
      <c r="B34" s="31"/>
      <c r="C34" s="22">
        <v>45100</v>
      </c>
      <c r="D34" s="31">
        <v>19</v>
      </c>
      <c r="E34" s="143">
        <v>338179.6</v>
      </c>
      <c r="F34" s="12">
        <v>128139</v>
      </c>
      <c r="G34" s="220">
        <f>ROUND(E34-F34,)</f>
        <v>210041</v>
      </c>
      <c r="H34" s="220">
        <f>ROUND(G34*$H$5,0)</f>
        <v>37807</v>
      </c>
      <c r="I34" s="12">
        <f>G34+H34</f>
        <v>247848</v>
      </c>
      <c r="J34" s="12">
        <f>ROUND(G34*$J$5,)</f>
        <v>2100</v>
      </c>
      <c r="K34" s="12">
        <f>ROUND(G34*$K$5,)</f>
        <v>10502</v>
      </c>
      <c r="L34" s="12"/>
      <c r="M34" s="12">
        <f>ROUND(G34*$M$5,)</f>
        <v>21004</v>
      </c>
      <c r="N34" s="223">
        <f>H34</f>
        <v>37807</v>
      </c>
      <c r="O34" s="143"/>
      <c r="P34" s="12">
        <f t="shared" si="1"/>
        <v>176435</v>
      </c>
      <c r="Q34" s="168" t="s">
        <v>394</v>
      </c>
      <c r="R34" s="12"/>
      <c r="S34" s="12"/>
      <c r="T34" s="16">
        <v>300000</v>
      </c>
      <c r="U34" s="113">
        <f t="shared" si="2"/>
        <v>297000</v>
      </c>
      <c r="V34" s="15" t="s">
        <v>73</v>
      </c>
      <c r="W34" s="12"/>
    </row>
    <row r="35" spans="1:23" x14ac:dyDescent="0.25">
      <c r="A35" s="17" t="s">
        <v>112</v>
      </c>
      <c r="B35" s="31"/>
      <c r="C35" s="22">
        <v>45139</v>
      </c>
      <c r="D35" s="31" t="s">
        <v>450</v>
      </c>
      <c r="E35" s="143">
        <v>234563.19999999995</v>
      </c>
      <c r="F35" s="12">
        <v>0</v>
      </c>
      <c r="G35" s="220">
        <v>234563</v>
      </c>
      <c r="H35" s="220">
        <v>42221</v>
      </c>
      <c r="I35" s="12">
        <v>276784</v>
      </c>
      <c r="J35" s="12">
        <v>2346</v>
      </c>
      <c r="K35" s="12">
        <v>11728</v>
      </c>
      <c r="L35" s="12">
        <v>0</v>
      </c>
      <c r="M35" s="12">
        <v>23456</v>
      </c>
      <c r="N35" s="223">
        <v>42221</v>
      </c>
      <c r="O35" s="143"/>
      <c r="P35" s="12">
        <f t="shared" si="1"/>
        <v>197033</v>
      </c>
      <c r="Q35" s="168"/>
      <c r="R35" s="12"/>
      <c r="S35" s="12"/>
      <c r="T35" s="16">
        <v>100000</v>
      </c>
      <c r="U35" s="113">
        <f t="shared" si="2"/>
        <v>99000</v>
      </c>
      <c r="V35" s="15" t="s">
        <v>256</v>
      </c>
      <c r="W35" s="12"/>
    </row>
    <row r="36" spans="1:23" x14ac:dyDescent="0.25">
      <c r="A36" s="17"/>
      <c r="B36" s="31"/>
      <c r="C36" s="22">
        <v>45534</v>
      </c>
      <c r="D36" s="31">
        <v>71</v>
      </c>
      <c r="E36" s="143">
        <v>367500</v>
      </c>
      <c r="F36" s="143">
        <v>315511.5</v>
      </c>
      <c r="G36" s="220">
        <f>E36-F36</f>
        <v>51988.5</v>
      </c>
      <c r="H36" s="220">
        <f>G36*18%</f>
        <v>9357.93</v>
      </c>
      <c r="I36" s="12">
        <f>G36+H36</f>
        <v>61346.43</v>
      </c>
      <c r="J36" s="12">
        <f>G36*1%</f>
        <v>519.88499999999999</v>
      </c>
      <c r="K36" s="12">
        <f>G36*5%</f>
        <v>2599.4250000000002</v>
      </c>
      <c r="L36" s="12"/>
      <c r="M36" s="12"/>
      <c r="N36" s="161">
        <f>H36</f>
        <v>9357.93</v>
      </c>
      <c r="O36" s="143">
        <f>G36*7%</f>
        <v>3639.1950000000002</v>
      </c>
      <c r="P36" s="12">
        <f>I36-SUM(J36:O36)</f>
        <v>45229.994999999995</v>
      </c>
      <c r="Q36" s="168"/>
      <c r="R36" s="12"/>
      <c r="S36" s="12"/>
      <c r="T36" s="16">
        <v>1000000</v>
      </c>
      <c r="U36" s="113">
        <f t="shared" si="2"/>
        <v>990000</v>
      </c>
      <c r="V36" s="15" t="s">
        <v>449</v>
      </c>
      <c r="W36" s="12"/>
    </row>
    <row r="37" spans="1:23" ht="28.5" x14ac:dyDescent="0.25">
      <c r="A37" s="17"/>
      <c r="B37" s="31" t="s">
        <v>114</v>
      </c>
      <c r="C37" s="22"/>
      <c r="D37" s="31" t="s">
        <v>654</v>
      </c>
      <c r="E37" s="143">
        <f>SUM(N30:N36)</f>
        <v>329590.93</v>
      </c>
      <c r="F37" s="143"/>
      <c r="G37" s="143"/>
      <c r="H37" s="143"/>
      <c r="I37" s="143"/>
      <c r="J37" s="143"/>
      <c r="K37" s="143"/>
      <c r="L37" s="143"/>
      <c r="M37" s="143"/>
      <c r="N37" s="143"/>
      <c r="O37" s="143"/>
      <c r="P37" s="180">
        <f>E37</f>
        <v>329590.93</v>
      </c>
      <c r="Q37" s="168"/>
      <c r="R37" s="12"/>
      <c r="S37" s="12"/>
      <c r="T37" s="16">
        <v>300000</v>
      </c>
      <c r="U37" s="113">
        <v>297000</v>
      </c>
      <c r="V37" s="15" t="s">
        <v>569</v>
      </c>
      <c r="W37" s="12"/>
    </row>
    <row r="38" spans="1:23" x14ac:dyDescent="0.25">
      <c r="A38" s="17"/>
      <c r="B38" s="31"/>
      <c r="C38" s="22"/>
      <c r="D38" s="31"/>
      <c r="E38" s="143"/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68"/>
      <c r="R38" s="12"/>
      <c r="S38" s="12"/>
      <c r="T38" s="16">
        <v>300000</v>
      </c>
      <c r="U38" s="113">
        <v>297000</v>
      </c>
      <c r="V38" s="15" t="s">
        <v>576</v>
      </c>
      <c r="W38" s="12"/>
    </row>
    <row r="39" spans="1:23" x14ac:dyDescent="0.25">
      <c r="A39" s="17"/>
      <c r="B39" s="31"/>
      <c r="C39" s="22"/>
      <c r="D39" s="31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68"/>
      <c r="R39" s="12"/>
      <c r="S39" s="12"/>
      <c r="T39" s="16">
        <v>200000</v>
      </c>
      <c r="U39" s="113">
        <v>198000</v>
      </c>
      <c r="V39" s="15" t="s">
        <v>621</v>
      </c>
      <c r="W39" s="12"/>
    </row>
    <row r="40" spans="1:23" x14ac:dyDescent="0.25">
      <c r="A40" s="17"/>
      <c r="B40" s="31"/>
      <c r="C40" s="22"/>
      <c r="D40" s="31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68"/>
      <c r="R40" s="12"/>
      <c r="S40" s="12"/>
      <c r="T40" s="16">
        <v>200000</v>
      </c>
      <c r="U40" s="113">
        <v>198000</v>
      </c>
      <c r="V40" s="15" t="s">
        <v>715</v>
      </c>
      <c r="W40" s="12"/>
    </row>
    <row r="41" spans="1:23" x14ac:dyDescent="0.25">
      <c r="A41" s="295">
        <v>52499</v>
      </c>
      <c r="B41" s="296"/>
      <c r="C41" s="296"/>
      <c r="D41" s="296"/>
      <c r="E41" s="403"/>
      <c r="F41" s="403"/>
      <c r="G41" s="403"/>
      <c r="H41" s="403"/>
      <c r="I41" s="403"/>
      <c r="J41" s="403"/>
      <c r="K41" s="403"/>
      <c r="L41" s="403"/>
      <c r="M41" s="403"/>
      <c r="N41" s="403"/>
      <c r="O41" s="403"/>
      <c r="P41" s="403"/>
      <c r="Q41" s="300">
        <f>A41</f>
        <v>52499</v>
      </c>
      <c r="R41" s="299"/>
      <c r="S41" s="299"/>
      <c r="T41" s="299"/>
      <c r="U41" s="260"/>
      <c r="V41" s="261"/>
      <c r="W41" s="299"/>
    </row>
    <row r="42" spans="1:23" x14ac:dyDescent="0.25">
      <c r="A42" s="17">
        <v>3412500</v>
      </c>
      <c r="B42" s="31" t="s">
        <v>332</v>
      </c>
      <c r="C42" s="22">
        <v>44961</v>
      </c>
      <c r="D42" s="32">
        <v>12</v>
      </c>
      <c r="E42" s="12">
        <f>2722500*40%</f>
        <v>1089000</v>
      </c>
      <c r="F42" s="12">
        <v>487964.58</v>
      </c>
      <c r="G42" s="220">
        <f>ROUND(E42-F42,)</f>
        <v>601035</v>
      </c>
      <c r="H42" s="220">
        <f>ROUND(G42*$H$5,0)</f>
        <v>108186</v>
      </c>
      <c r="I42" s="12">
        <f>G42+H42</f>
        <v>709221</v>
      </c>
      <c r="J42" s="12">
        <f>ROUND(G42*$J$5,)</f>
        <v>6010</v>
      </c>
      <c r="K42" s="12">
        <f>ROUND(G42*$K$5,)</f>
        <v>30052</v>
      </c>
      <c r="L42" s="12">
        <f>ROUND(G42*$L$5,)</f>
        <v>0</v>
      </c>
      <c r="M42" s="12">
        <f>ROUND(G42*$M$5,)</f>
        <v>60104</v>
      </c>
      <c r="N42" s="223">
        <f>H42</f>
        <v>108186</v>
      </c>
      <c r="O42" s="12"/>
      <c r="P42" s="12">
        <f>ROUND(I42-SUM(J42:N42),0)</f>
        <v>504869</v>
      </c>
      <c r="Q42" s="168"/>
      <c r="R42" s="12">
        <v>3412500</v>
      </c>
      <c r="S42" s="12">
        <f>R42-SUM(T42:T54)</f>
        <v>-237500</v>
      </c>
      <c r="T42" s="16">
        <v>300000</v>
      </c>
      <c r="U42" s="113">
        <f>T42-1%*T42</f>
        <v>297000</v>
      </c>
      <c r="V42" s="15" t="s">
        <v>42</v>
      </c>
      <c r="W42" s="12">
        <f>SUM(P42:P54)-SUM(U42:U54)</f>
        <v>-1774067</v>
      </c>
    </row>
    <row r="43" spans="1:23" x14ac:dyDescent="0.25">
      <c r="A43" s="17"/>
      <c r="B43" s="31"/>
      <c r="C43" s="22">
        <v>44998</v>
      </c>
      <c r="D43" s="32">
        <v>22</v>
      </c>
      <c r="E43" s="12">
        <f>(3097314*40%)-E42+(3097314*15%)</f>
        <v>614522.70000000007</v>
      </c>
      <c r="F43" s="12">
        <v>294420.01</v>
      </c>
      <c r="G43" s="220">
        <f>ROUND(E43-F43,)</f>
        <v>320103</v>
      </c>
      <c r="H43" s="220">
        <f>ROUND(G43*$H$5,0)</f>
        <v>57619</v>
      </c>
      <c r="I43" s="12">
        <f>G43+H43</f>
        <v>377722</v>
      </c>
      <c r="J43" s="12">
        <f>ROUND(G43*$J$5,)</f>
        <v>3201</v>
      </c>
      <c r="K43" s="12">
        <f>ROUND(G43*$K$5,)</f>
        <v>16005</v>
      </c>
      <c r="L43" s="12">
        <f>ROUND(G43*$L$5,)</f>
        <v>0</v>
      </c>
      <c r="M43" s="12">
        <f>ROUND(G43*$M$5,)</f>
        <v>32010</v>
      </c>
      <c r="N43" s="223">
        <f>H43</f>
        <v>57619</v>
      </c>
      <c r="O43" s="12"/>
      <c r="P43" s="12">
        <f>ROUND(I43-SUM(J43:N43),0)</f>
        <v>268887</v>
      </c>
      <c r="Q43" s="168"/>
      <c r="R43" s="12"/>
      <c r="S43" s="12"/>
      <c r="T43" s="16">
        <v>300000</v>
      </c>
      <c r="U43" s="113">
        <f t="shared" ref="U43:U48" si="3">T43-1%*T43</f>
        <v>297000</v>
      </c>
      <c r="V43" s="15" t="s">
        <v>44</v>
      </c>
      <c r="W43" s="12"/>
    </row>
    <row r="44" spans="1:23" x14ac:dyDescent="0.25">
      <c r="A44" s="17"/>
      <c r="B44" s="31"/>
      <c r="C44" s="22">
        <v>45013</v>
      </c>
      <c r="D44" s="32">
        <v>30</v>
      </c>
      <c r="E44" s="12">
        <f>(3097314*15%)</f>
        <v>464597.1</v>
      </c>
      <c r="F44" s="12">
        <v>142395</v>
      </c>
      <c r="G44" s="220">
        <f>ROUND(E44-F44,)</f>
        <v>322202</v>
      </c>
      <c r="H44" s="220">
        <f>ROUND(G44*$H$5,0)</f>
        <v>57996</v>
      </c>
      <c r="I44" s="12">
        <f>G44+H44</f>
        <v>380198</v>
      </c>
      <c r="J44" s="12">
        <f>ROUND(G44*$J$5,)</f>
        <v>3222</v>
      </c>
      <c r="K44" s="12">
        <f>ROUND(G44*$K$5,)</f>
        <v>16110</v>
      </c>
      <c r="L44" s="12">
        <f>ROUND(G44*$L$5,)</f>
        <v>0</v>
      </c>
      <c r="M44" s="12">
        <f>ROUND(G44*$M$5,)</f>
        <v>32220</v>
      </c>
      <c r="N44" s="223">
        <f>H44</f>
        <v>57996</v>
      </c>
      <c r="O44" s="12"/>
      <c r="P44" s="12">
        <f>ROUND(I44-SUM(J44:N44),0)</f>
        <v>270650</v>
      </c>
      <c r="Q44" s="168"/>
      <c r="R44" s="12"/>
      <c r="S44" s="12"/>
      <c r="T44" s="16">
        <v>200000</v>
      </c>
      <c r="U44" s="113">
        <f t="shared" si="3"/>
        <v>198000</v>
      </c>
      <c r="V44" s="15" t="s">
        <v>46</v>
      </c>
      <c r="W44" s="12"/>
    </row>
    <row r="45" spans="1:23" x14ac:dyDescent="0.25">
      <c r="A45" s="17" t="s">
        <v>112</v>
      </c>
      <c r="B45" s="31"/>
      <c r="C45" s="22">
        <v>45139</v>
      </c>
      <c r="D45" s="32">
        <v>42</v>
      </c>
      <c r="E45" s="12">
        <v>220630.19999999972</v>
      </c>
      <c r="F45" s="12"/>
      <c r="G45" s="12">
        <v>220630</v>
      </c>
      <c r="H45" s="12">
        <v>39713</v>
      </c>
      <c r="I45" s="12">
        <v>260343</v>
      </c>
      <c r="J45" s="12">
        <v>2206</v>
      </c>
      <c r="K45" s="12">
        <v>11032</v>
      </c>
      <c r="L45" s="12">
        <v>0</v>
      </c>
      <c r="M45" s="12">
        <v>22063</v>
      </c>
      <c r="N45" s="161">
        <v>39713</v>
      </c>
      <c r="O45" s="12"/>
      <c r="P45" s="12">
        <v>185329</v>
      </c>
      <c r="Q45" s="168"/>
      <c r="R45" s="12"/>
      <c r="S45" s="12"/>
      <c r="T45" s="16">
        <v>150000</v>
      </c>
      <c r="U45" s="113">
        <f t="shared" si="3"/>
        <v>148500</v>
      </c>
      <c r="V45" s="15" t="s">
        <v>65</v>
      </c>
      <c r="W45" s="12"/>
    </row>
    <row r="46" spans="1:23" x14ac:dyDescent="0.25">
      <c r="A46" s="17"/>
      <c r="B46" s="12"/>
      <c r="C46" s="22">
        <v>45339</v>
      </c>
      <c r="D46" s="95">
        <v>63211</v>
      </c>
      <c r="E46" s="12">
        <v>341250</v>
      </c>
      <c r="F46" s="12">
        <v>113859</v>
      </c>
      <c r="G46" s="220">
        <f>ROUND(E46-F46,)</f>
        <v>227391</v>
      </c>
      <c r="H46" s="220">
        <f>ROUND(G46*$H$5,0)</f>
        <v>40930</v>
      </c>
      <c r="I46" s="12">
        <f>G46+H46</f>
        <v>268321</v>
      </c>
      <c r="J46" s="12">
        <f>ROUND(G46*$J$5,)</f>
        <v>2274</v>
      </c>
      <c r="K46" s="12">
        <f>ROUND(G46*$K$5,)</f>
        <v>11370</v>
      </c>
      <c r="L46" s="12">
        <f>ROUND(G46*$L$5,)</f>
        <v>0</v>
      </c>
      <c r="M46" s="12">
        <f>ROUND(G46*$M$5,)</f>
        <v>22739</v>
      </c>
      <c r="N46" s="223">
        <f>H46</f>
        <v>40930</v>
      </c>
      <c r="O46" s="12"/>
      <c r="P46" s="12">
        <f>ROUND(I46-SUM(J46:O46),0)</f>
        <v>191008</v>
      </c>
      <c r="Q46" s="168"/>
      <c r="R46" s="12"/>
      <c r="S46" s="12"/>
      <c r="T46" s="16">
        <v>500000</v>
      </c>
      <c r="U46" s="113">
        <f t="shared" si="3"/>
        <v>495000</v>
      </c>
      <c r="V46" s="15" t="s">
        <v>138</v>
      </c>
      <c r="W46" s="12"/>
    </row>
    <row r="47" spans="1:23" x14ac:dyDescent="0.25">
      <c r="A47" s="17"/>
      <c r="B47" s="31" t="s">
        <v>332</v>
      </c>
      <c r="C47" s="22">
        <v>45534</v>
      </c>
      <c r="D47" s="95">
        <v>64</v>
      </c>
      <c r="E47" s="12">
        <v>341250</v>
      </c>
      <c r="F47" s="12">
        <v>232445</v>
      </c>
      <c r="G47" s="220">
        <f>ROUND(E47-F47,)</f>
        <v>108805</v>
      </c>
      <c r="H47" s="220">
        <f>ROUND(G47*$H$5,0)</f>
        <v>19585</v>
      </c>
      <c r="I47" s="12">
        <f>G47+H47</f>
        <v>128390</v>
      </c>
      <c r="J47" s="12">
        <f>ROUND(G47*$J$5,)</f>
        <v>1088</v>
      </c>
      <c r="K47" s="12">
        <f>ROUND(G47*$K$5,)</f>
        <v>5440</v>
      </c>
      <c r="L47" s="12">
        <f>ROUND(G47*$L$5,)</f>
        <v>0</v>
      </c>
      <c r="M47" s="12"/>
      <c r="N47" s="161">
        <f>H47</f>
        <v>19585</v>
      </c>
      <c r="O47" s="12">
        <f>G47*7%</f>
        <v>7616.35</v>
      </c>
      <c r="P47" s="12">
        <f>ROUND(I47-SUM(J47:O47),0)</f>
        <v>94661</v>
      </c>
      <c r="Q47" s="168"/>
      <c r="R47" s="12"/>
      <c r="S47" s="12"/>
      <c r="T47" s="16">
        <v>100000</v>
      </c>
      <c r="U47" s="113">
        <f t="shared" si="3"/>
        <v>99000</v>
      </c>
      <c r="V47" s="15" t="s">
        <v>254</v>
      </c>
      <c r="W47" s="12"/>
    </row>
    <row r="48" spans="1:23" x14ac:dyDescent="0.25">
      <c r="A48" s="17"/>
      <c r="B48" s="31" t="s">
        <v>114</v>
      </c>
      <c r="C48" s="22"/>
      <c r="D48" s="95" t="s">
        <v>653</v>
      </c>
      <c r="E48" s="12">
        <f>SUM(N42:N47)</f>
        <v>324029</v>
      </c>
      <c r="F48" s="12"/>
      <c r="G48" s="12"/>
      <c r="H48" s="12"/>
      <c r="I48" s="12"/>
      <c r="J48" s="12"/>
      <c r="K48" s="12"/>
      <c r="L48" s="12"/>
      <c r="M48" s="12"/>
      <c r="N48" s="96"/>
      <c r="O48" s="12"/>
      <c r="P48" s="161">
        <f>E48</f>
        <v>324029</v>
      </c>
      <c r="Q48" s="168"/>
      <c r="R48" s="12"/>
      <c r="S48" s="12"/>
      <c r="T48" s="16">
        <v>500000</v>
      </c>
      <c r="U48" s="113">
        <f t="shared" si="3"/>
        <v>495000</v>
      </c>
      <c r="V48" s="15" t="s">
        <v>451</v>
      </c>
      <c r="W48" s="12"/>
    </row>
    <row r="49" spans="1:23" x14ac:dyDescent="0.15">
      <c r="A49" s="17"/>
      <c r="B49" s="31"/>
      <c r="C49" s="22"/>
      <c r="D49" s="95"/>
      <c r="E49" s="12"/>
      <c r="F49" s="12"/>
      <c r="G49" s="12"/>
      <c r="H49" s="12"/>
      <c r="I49" s="12"/>
      <c r="J49" s="12"/>
      <c r="K49" s="12"/>
      <c r="L49" s="12"/>
      <c r="M49" s="12"/>
      <c r="N49" s="96"/>
      <c r="O49" s="12"/>
      <c r="P49" s="161"/>
      <c r="Q49" s="168"/>
      <c r="R49" s="12"/>
      <c r="S49" s="12"/>
      <c r="T49" s="16">
        <v>200000</v>
      </c>
      <c r="U49" s="113">
        <v>198000</v>
      </c>
      <c r="V49" s="221" t="s">
        <v>781</v>
      </c>
      <c r="W49" s="12"/>
    </row>
    <row r="50" spans="1:23" x14ac:dyDescent="0.25">
      <c r="A50" s="17"/>
      <c r="B50" s="31"/>
      <c r="C50" s="22"/>
      <c r="D50" s="95"/>
      <c r="E50" s="12"/>
      <c r="F50" s="12"/>
      <c r="G50" s="12"/>
      <c r="H50" s="12"/>
      <c r="I50" s="12"/>
      <c r="J50" s="12"/>
      <c r="K50" s="12"/>
      <c r="L50" s="12"/>
      <c r="M50" s="12"/>
      <c r="N50" s="96"/>
      <c r="O50" s="12"/>
      <c r="P50" s="12"/>
      <c r="Q50" s="168"/>
      <c r="R50" s="12"/>
      <c r="S50" s="12"/>
      <c r="T50" s="16">
        <v>200000</v>
      </c>
      <c r="U50" s="113">
        <v>198000</v>
      </c>
      <c r="V50" s="15" t="s">
        <v>579</v>
      </c>
      <c r="W50" s="12"/>
    </row>
    <row r="51" spans="1:23" x14ac:dyDescent="0.15">
      <c r="A51" s="17"/>
      <c r="B51" s="473" t="s">
        <v>940</v>
      </c>
      <c r="C51" s="22"/>
      <c r="D51" s="95"/>
      <c r="E51" s="12"/>
      <c r="F51" s="12"/>
      <c r="G51" s="12"/>
      <c r="H51" s="12"/>
      <c r="I51" s="12"/>
      <c r="J51" s="12"/>
      <c r="K51" s="12"/>
      <c r="L51" s="12"/>
      <c r="M51" s="12"/>
      <c r="N51" s="96"/>
      <c r="O51" s="12"/>
      <c r="P51" s="12"/>
      <c r="Q51" s="168"/>
      <c r="R51" s="12"/>
      <c r="S51" s="12"/>
      <c r="T51" s="16">
        <v>400000</v>
      </c>
      <c r="U51" s="113">
        <v>396000</v>
      </c>
      <c r="V51" s="39" t="s">
        <v>663</v>
      </c>
      <c r="W51" s="12"/>
    </row>
    <row r="52" spans="1:23" x14ac:dyDescent="0.25">
      <c r="A52" s="17"/>
      <c r="B52" s="31"/>
      <c r="C52" s="22"/>
      <c r="D52" s="95"/>
      <c r="E52" s="12"/>
      <c r="F52" s="12"/>
      <c r="G52" s="12"/>
      <c r="H52" s="12"/>
      <c r="I52" s="12"/>
      <c r="J52" s="12"/>
      <c r="K52" s="12"/>
      <c r="L52" s="12"/>
      <c r="M52" s="12"/>
      <c r="N52" s="96"/>
      <c r="O52" s="12"/>
      <c r="P52" s="12"/>
      <c r="Q52" s="168"/>
      <c r="R52" s="12"/>
      <c r="S52" s="12"/>
      <c r="T52" s="16">
        <v>300000</v>
      </c>
      <c r="U52" s="113">
        <f>T52-1%*T52</f>
        <v>297000</v>
      </c>
      <c r="V52" s="39" t="s">
        <v>672</v>
      </c>
      <c r="W52" s="12"/>
    </row>
    <row r="53" spans="1:23" x14ac:dyDescent="0.25">
      <c r="A53" s="17"/>
      <c r="B53" s="31"/>
      <c r="C53" s="22"/>
      <c r="D53" s="95"/>
      <c r="E53" s="12"/>
      <c r="F53" s="12"/>
      <c r="G53" s="12"/>
      <c r="H53" s="12"/>
      <c r="I53" s="12"/>
      <c r="J53" s="12"/>
      <c r="K53" s="12"/>
      <c r="L53" s="12"/>
      <c r="M53" s="12"/>
      <c r="N53" s="96"/>
      <c r="O53" s="12"/>
      <c r="P53" s="12"/>
      <c r="Q53" s="168"/>
      <c r="R53" s="12"/>
      <c r="S53" s="12"/>
      <c r="T53" s="16">
        <v>500000</v>
      </c>
      <c r="U53" s="113">
        <f t="shared" ref="U53" si="4">T53-1%*T53</f>
        <v>495000</v>
      </c>
      <c r="V53" s="39" t="s">
        <v>674</v>
      </c>
      <c r="W53" s="12"/>
    </row>
    <row r="54" spans="1:23" x14ac:dyDescent="0.25">
      <c r="A54" s="17"/>
      <c r="B54" s="31"/>
      <c r="C54" s="22"/>
      <c r="D54" s="95"/>
      <c r="E54" s="12"/>
      <c r="F54" s="12"/>
      <c r="G54" s="12"/>
      <c r="H54" s="12"/>
      <c r="I54" s="12"/>
      <c r="J54" s="12"/>
      <c r="K54" s="12"/>
      <c r="L54" s="12"/>
      <c r="M54" s="12"/>
      <c r="N54" s="96"/>
      <c r="O54" s="12"/>
      <c r="P54" s="12"/>
      <c r="Q54" s="168"/>
      <c r="R54" s="12"/>
      <c r="S54" s="12"/>
      <c r="T54" s="12"/>
      <c r="U54" s="158"/>
      <c r="V54" s="38"/>
      <c r="W54" s="12"/>
    </row>
    <row r="55" spans="1:23" x14ac:dyDescent="0.25">
      <c r="A55" s="295">
        <v>52749</v>
      </c>
      <c r="B55" s="295"/>
      <c r="C55" s="297"/>
      <c r="D55" s="298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299"/>
      <c r="P55" s="299"/>
      <c r="Q55" s="300">
        <f>A55</f>
        <v>52749</v>
      </c>
      <c r="R55" s="299"/>
      <c r="S55" s="299"/>
      <c r="T55" s="299"/>
      <c r="U55" s="260"/>
      <c r="V55" s="261"/>
      <c r="W55" s="299"/>
    </row>
    <row r="56" spans="1:23" x14ac:dyDescent="0.25">
      <c r="A56" s="17">
        <v>3412500</v>
      </c>
      <c r="B56" s="31" t="s">
        <v>341</v>
      </c>
      <c r="C56" s="22">
        <v>44961</v>
      </c>
      <c r="D56" s="32">
        <v>11</v>
      </c>
      <c r="E56" s="12">
        <f>2722500*40%</f>
        <v>1089000</v>
      </c>
      <c r="F56" s="12">
        <v>479944.28</v>
      </c>
      <c r="G56" s="220">
        <f>ROUND(E56-F56,)</f>
        <v>609056</v>
      </c>
      <c r="H56" s="220">
        <f>ROUND(G56*$H$5,0)</f>
        <v>109630</v>
      </c>
      <c r="I56" s="12">
        <f>G56+H56</f>
        <v>718686</v>
      </c>
      <c r="J56" s="12">
        <f>ROUND(G56*$J$5,)</f>
        <v>6091</v>
      </c>
      <c r="K56" s="12">
        <f>ROUND(G56*$K$5,)</f>
        <v>30453</v>
      </c>
      <c r="L56" s="12">
        <f>ROUND(G56*$L$5,)</f>
        <v>0</v>
      </c>
      <c r="M56" s="12">
        <f>ROUND(G56*$M$5,)</f>
        <v>60906</v>
      </c>
      <c r="N56" s="161">
        <f>H56</f>
        <v>109630</v>
      </c>
      <c r="O56" s="12"/>
      <c r="P56" s="12">
        <f>ROUND(I56-SUM(J56:N56),0)</f>
        <v>511606</v>
      </c>
      <c r="Q56" s="170"/>
      <c r="R56" s="12">
        <v>3412500</v>
      </c>
      <c r="S56" s="12">
        <f>R56-SUM(T56:T64)</f>
        <v>62500</v>
      </c>
      <c r="T56" s="16">
        <v>600000</v>
      </c>
      <c r="U56" s="113">
        <f>T56-1%*T56</f>
        <v>594000</v>
      </c>
      <c r="V56" s="15" t="s">
        <v>76</v>
      </c>
      <c r="W56" s="12">
        <f>SUM(P56:P64)-SUM(U56:U64)</f>
        <v>-1241255</v>
      </c>
    </row>
    <row r="57" spans="1:23" x14ac:dyDescent="0.25">
      <c r="A57" s="17"/>
      <c r="B57" s="31" t="s">
        <v>341</v>
      </c>
      <c r="C57" s="22">
        <v>44998</v>
      </c>
      <c r="D57" s="32">
        <v>21</v>
      </c>
      <c r="E57" s="12">
        <v>149925</v>
      </c>
      <c r="F57" s="12"/>
      <c r="G57" s="220">
        <f>ROUND(E57-F57,)</f>
        <v>149925</v>
      </c>
      <c r="H57" s="220">
        <f>ROUND(G57*$H$5,0)</f>
        <v>26987</v>
      </c>
      <c r="I57" s="12">
        <f>G57+H57</f>
        <v>176912</v>
      </c>
      <c r="J57" s="12">
        <f>ROUND(G57*$J$5,)</f>
        <v>1499</v>
      </c>
      <c r="K57" s="12">
        <f>ROUND(G57*$K$5,)</f>
        <v>7496</v>
      </c>
      <c r="L57" s="12">
        <f>ROUND(G57*$L$5,)</f>
        <v>0</v>
      </c>
      <c r="M57" s="12">
        <f>ROUND(G57*$M$5,)</f>
        <v>14993</v>
      </c>
      <c r="N57" s="223">
        <f>H57</f>
        <v>26987</v>
      </c>
      <c r="O57" s="12"/>
      <c r="P57" s="12">
        <f>ROUND(I57-SUM(J57:N57),0)</f>
        <v>125937</v>
      </c>
      <c r="Q57" s="168"/>
      <c r="R57" s="12"/>
      <c r="S57" s="12"/>
      <c r="T57" s="16">
        <v>300000</v>
      </c>
      <c r="U57" s="113">
        <f t="shared" ref="U57:U58" si="5">T57-1%*T57</f>
        <v>297000</v>
      </c>
      <c r="V57" s="15" t="s">
        <v>78</v>
      </c>
      <c r="W57" s="12"/>
    </row>
    <row r="58" spans="1:23" x14ac:dyDescent="0.25">
      <c r="A58" s="17" t="s">
        <v>112</v>
      </c>
      <c r="B58" s="31" t="s">
        <v>341</v>
      </c>
      <c r="C58" s="22">
        <v>45139</v>
      </c>
      <c r="D58" s="32" t="s">
        <v>435</v>
      </c>
      <c r="E58" s="12">
        <v>126075</v>
      </c>
      <c r="F58" s="12">
        <v>0</v>
      </c>
      <c r="G58" s="220">
        <v>126075</v>
      </c>
      <c r="H58" s="220">
        <v>22694</v>
      </c>
      <c r="I58" s="12">
        <v>148769</v>
      </c>
      <c r="J58" s="12">
        <v>1261</v>
      </c>
      <c r="K58" s="12">
        <v>6304</v>
      </c>
      <c r="L58" s="12">
        <v>0</v>
      </c>
      <c r="M58" s="12">
        <v>12608</v>
      </c>
      <c r="N58" s="223">
        <v>22694</v>
      </c>
      <c r="O58" s="12"/>
      <c r="P58" s="12">
        <v>105902</v>
      </c>
      <c r="Q58" s="168"/>
      <c r="R58" s="12"/>
      <c r="S58" s="12"/>
      <c r="T58" s="16">
        <v>100000</v>
      </c>
      <c r="U58" s="113">
        <f t="shared" si="5"/>
        <v>99000</v>
      </c>
      <c r="V58" s="15" t="s">
        <v>110</v>
      </c>
      <c r="W58" s="12"/>
    </row>
    <row r="59" spans="1:23" x14ac:dyDescent="0.25">
      <c r="A59" s="17"/>
      <c r="B59" s="31" t="s">
        <v>341</v>
      </c>
      <c r="C59" s="22">
        <v>45337</v>
      </c>
      <c r="D59" s="32" t="s">
        <v>399</v>
      </c>
      <c r="E59" s="12">
        <v>511875</v>
      </c>
      <c r="F59" s="12">
        <v>276887</v>
      </c>
      <c r="G59" s="220">
        <f>ROUND(E59-F59,)</f>
        <v>234988</v>
      </c>
      <c r="H59" s="220">
        <f>ROUND(G59*$H$5,0)</f>
        <v>42298</v>
      </c>
      <c r="I59" s="12">
        <f>G59+H59</f>
        <v>277286</v>
      </c>
      <c r="J59" s="12">
        <f>ROUND(G59*$J$5,)</f>
        <v>2350</v>
      </c>
      <c r="K59" s="12">
        <f>ROUND(G59*$K$5,)</f>
        <v>11749</v>
      </c>
      <c r="L59" s="12">
        <f>ROUND(G59*$L$5,)</f>
        <v>0</v>
      </c>
      <c r="M59" s="12">
        <f>ROUND(G59*$M$5,)</f>
        <v>23499</v>
      </c>
      <c r="N59" s="223">
        <f>H59</f>
        <v>42298</v>
      </c>
      <c r="O59" s="12"/>
      <c r="P59" s="12">
        <f>ROUND(I59-SUM(J59:N59),0)</f>
        <v>197390</v>
      </c>
      <c r="Q59" s="168"/>
      <c r="R59" s="12"/>
      <c r="S59" s="12"/>
      <c r="T59" s="16">
        <v>100000</v>
      </c>
      <c r="U59" s="113">
        <v>99000</v>
      </c>
      <c r="V59" s="15" t="s">
        <v>200</v>
      </c>
      <c r="W59" s="12"/>
    </row>
    <row r="60" spans="1:23" x14ac:dyDescent="0.25">
      <c r="A60" s="17"/>
      <c r="B60" s="31" t="s">
        <v>341</v>
      </c>
      <c r="C60" s="22">
        <v>45206</v>
      </c>
      <c r="D60" s="32" t="s">
        <v>434</v>
      </c>
      <c r="E60" s="12">
        <f>3412500*15%</f>
        <v>511875</v>
      </c>
      <c r="F60" s="12">
        <v>304812</v>
      </c>
      <c r="G60" s="220">
        <f>ROUND(E60-F60,)</f>
        <v>207063</v>
      </c>
      <c r="H60" s="220">
        <f>ROUND(G60*$H$5,0)</f>
        <v>37271</v>
      </c>
      <c r="I60" s="12">
        <f>G60+H60</f>
        <v>244334</v>
      </c>
      <c r="J60" s="12">
        <f>ROUND(G60*$J$5,)</f>
        <v>2071</v>
      </c>
      <c r="K60" s="12">
        <f>ROUND(G60*$K$5,)</f>
        <v>10353</v>
      </c>
      <c r="L60" s="12">
        <f>ROUND(G60*$L$5,)</f>
        <v>0</v>
      </c>
      <c r="M60" s="12">
        <f>ROUND(G60*$M$5,)</f>
        <v>20706</v>
      </c>
      <c r="N60" s="223">
        <f>H60</f>
        <v>37271</v>
      </c>
      <c r="O60" s="37"/>
      <c r="P60" s="12">
        <f>ROUND(I60-SUM(J60:N60),0)</f>
        <v>173933</v>
      </c>
      <c r="Q60" s="168"/>
      <c r="R60" s="12"/>
      <c r="S60" s="12"/>
      <c r="T60" s="16">
        <v>750000</v>
      </c>
      <c r="U60" s="113">
        <v>712500</v>
      </c>
      <c r="V60" s="15" t="s">
        <v>413</v>
      </c>
      <c r="W60" s="12"/>
    </row>
    <row r="61" spans="1:23" x14ac:dyDescent="0.25">
      <c r="A61" s="17"/>
      <c r="B61" s="31" t="s">
        <v>341</v>
      </c>
      <c r="C61" s="22">
        <v>45225</v>
      </c>
      <c r="D61" s="32">
        <v>124</v>
      </c>
      <c r="E61" s="12">
        <v>341250</v>
      </c>
      <c r="F61" s="12">
        <v>128083</v>
      </c>
      <c r="G61" s="12">
        <f>ROUND(E61-F61,)</f>
        <v>213167</v>
      </c>
      <c r="H61" s="12">
        <f>ROUND(G61*$H$5,0)</f>
        <v>38370</v>
      </c>
      <c r="I61" s="12">
        <f>G61+H61</f>
        <v>251537</v>
      </c>
      <c r="J61" s="12">
        <f>ROUND(G61*$J$5,)</f>
        <v>2132</v>
      </c>
      <c r="K61" s="12">
        <f>ROUND(G61*$K$5,)</f>
        <v>10658</v>
      </c>
      <c r="L61" s="12">
        <f>ROUND(G61*$L$5,)</f>
        <v>0</v>
      </c>
      <c r="M61" s="12">
        <f>ROUND(G61*$M$5,)</f>
        <v>21317</v>
      </c>
      <c r="N61" s="161">
        <f>H61</f>
        <v>38370</v>
      </c>
      <c r="O61" s="37"/>
      <c r="P61" s="12">
        <f>ROUND(I61-SUM(J61:N61),0)</f>
        <v>179060</v>
      </c>
      <c r="Q61" s="168"/>
      <c r="R61" s="12"/>
      <c r="S61" s="12"/>
      <c r="T61" s="16">
        <v>1000000</v>
      </c>
      <c r="U61" s="113">
        <v>990000</v>
      </c>
      <c r="V61" s="15" t="s">
        <v>453</v>
      </c>
      <c r="W61" s="12"/>
    </row>
    <row r="62" spans="1:23" x14ac:dyDescent="0.25">
      <c r="A62" s="17"/>
      <c r="B62" s="31" t="s">
        <v>341</v>
      </c>
      <c r="C62" s="22">
        <v>45534</v>
      </c>
      <c r="D62" s="32">
        <v>68</v>
      </c>
      <c r="E62" s="12">
        <v>511875</v>
      </c>
      <c r="F62" s="12">
        <v>213038</v>
      </c>
      <c r="G62" s="220">
        <f>ROUND(E62-F62,)</f>
        <v>298837</v>
      </c>
      <c r="H62" s="220">
        <f>ROUND(G62*$H$5,0)</f>
        <v>53791</v>
      </c>
      <c r="I62" s="12">
        <f>G62+H62</f>
        <v>352628</v>
      </c>
      <c r="J62" s="12">
        <f>ROUND(G62*$J$5,)</f>
        <v>2988</v>
      </c>
      <c r="K62" s="12">
        <f>ROUND(G62*$K$5,)</f>
        <v>14942</v>
      </c>
      <c r="L62" s="12">
        <f>ROUND(G62*$L$5,)</f>
        <v>0</v>
      </c>
      <c r="M62" s="12"/>
      <c r="N62" s="161">
        <f>H62</f>
        <v>53791</v>
      </c>
      <c r="O62" s="37">
        <f>G62*7%</f>
        <v>20918.590000000004</v>
      </c>
      <c r="P62" s="12">
        <f>ROUND(I62-SUM(J62:O62),0)</f>
        <v>259988</v>
      </c>
      <c r="Q62" s="168"/>
      <c r="R62" s="12"/>
      <c r="S62" s="12"/>
      <c r="T62" s="16">
        <v>500000</v>
      </c>
      <c r="U62" s="113">
        <v>495000</v>
      </c>
      <c r="V62" s="15" t="s">
        <v>479</v>
      </c>
      <c r="W62" s="12"/>
    </row>
    <row r="63" spans="1:23" ht="28.5" x14ac:dyDescent="0.25">
      <c r="A63" s="17"/>
      <c r="B63" s="31" t="s">
        <v>575</v>
      </c>
      <c r="D63" s="155" t="s">
        <v>652</v>
      </c>
      <c r="E63" s="12">
        <f>SUM(N56:N62)</f>
        <v>331041</v>
      </c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61">
        <f>E63</f>
        <v>331041</v>
      </c>
      <c r="Q63" s="168"/>
      <c r="R63" s="12"/>
      <c r="S63" s="12"/>
      <c r="T63" s="12"/>
      <c r="U63" s="61"/>
      <c r="V63" s="35"/>
      <c r="W63" s="12"/>
    </row>
    <row r="64" spans="1:23" x14ac:dyDescent="0.25">
      <c r="A64" s="17" t="s">
        <v>941</v>
      </c>
      <c r="B64" s="31" t="s">
        <v>341</v>
      </c>
      <c r="C64" s="22">
        <v>45712</v>
      </c>
      <c r="D64" s="32">
        <v>164</v>
      </c>
      <c r="E64" s="12">
        <v>170625</v>
      </c>
      <c r="F64" s="12">
        <v>0</v>
      </c>
      <c r="G64" s="12">
        <f>ROUND(E64-F64,)</f>
        <v>170625</v>
      </c>
      <c r="H64" s="12">
        <f>ROUND(G64*$H$5,0)</f>
        <v>30713</v>
      </c>
      <c r="I64" s="12">
        <f>G64+H64</f>
        <v>201338</v>
      </c>
      <c r="J64" s="12">
        <f>ROUND(G64*$J$5,)</f>
        <v>1706</v>
      </c>
      <c r="K64" s="12">
        <f>ROUND(G64*$K$5,)</f>
        <v>8531</v>
      </c>
      <c r="L64" s="12">
        <f>ROUND(G64*$L$5,)</f>
        <v>0</v>
      </c>
      <c r="M64" s="12"/>
      <c r="N64" s="161">
        <f>H64</f>
        <v>30713</v>
      </c>
      <c r="O64" s="37">
        <v>0</v>
      </c>
      <c r="P64" s="12">
        <f>ROUND(I64-SUM(J64:O64),0)</f>
        <v>160388</v>
      </c>
      <c r="Q64" s="171" t="s">
        <v>733</v>
      </c>
      <c r="R64" s="12"/>
      <c r="S64" s="12"/>
      <c r="T64" s="12"/>
      <c r="U64" s="158"/>
      <c r="V64" s="35"/>
      <c r="W64" s="12"/>
    </row>
    <row r="65" spans="1:23" x14ac:dyDescent="0.25">
      <c r="A65" s="295">
        <v>53220</v>
      </c>
      <c r="B65" s="296"/>
      <c r="C65" s="297"/>
      <c r="D65" s="298"/>
      <c r="E65" s="299"/>
      <c r="F65" s="299"/>
      <c r="G65" s="299"/>
      <c r="H65" s="299"/>
      <c r="I65" s="299"/>
      <c r="J65" s="299"/>
      <c r="K65" s="299"/>
      <c r="L65" s="299"/>
      <c r="M65" s="299"/>
      <c r="N65" s="299"/>
      <c r="O65" s="299"/>
      <c r="P65" s="299"/>
      <c r="Q65" s="300">
        <f>A65</f>
        <v>53220</v>
      </c>
      <c r="R65" s="299"/>
      <c r="S65" s="299"/>
      <c r="T65" s="299"/>
      <c r="U65" s="260"/>
      <c r="V65" s="261"/>
      <c r="W65" s="299"/>
    </row>
    <row r="66" spans="1:23" x14ac:dyDescent="0.25">
      <c r="A66" s="17">
        <v>4235000</v>
      </c>
      <c r="B66" s="31" t="s">
        <v>342</v>
      </c>
      <c r="C66" s="22">
        <v>44961</v>
      </c>
      <c r="D66" s="32">
        <v>13</v>
      </c>
      <c r="E66" s="12">
        <f>3640000*20%</f>
        <v>728000</v>
      </c>
      <c r="F66" s="12">
        <v>296183.99</v>
      </c>
      <c r="G66" s="220">
        <f>ROUND(E66-F66,)</f>
        <v>431816</v>
      </c>
      <c r="H66" s="220">
        <f>ROUND(G66*$H$5,0)</f>
        <v>77727</v>
      </c>
      <c r="I66" s="12">
        <f>G66+H66</f>
        <v>509543</v>
      </c>
      <c r="J66" s="12">
        <f>ROUND(G66*$J$5,)</f>
        <v>4318</v>
      </c>
      <c r="K66" s="12">
        <f>ROUND(G66*$K$5,)</f>
        <v>21591</v>
      </c>
      <c r="L66" s="12">
        <f>ROUND(G66*$L$5,)</f>
        <v>0</v>
      </c>
      <c r="M66" s="12">
        <f>ROUND(G66*$M$5,)</f>
        <v>43182</v>
      </c>
      <c r="N66" s="223">
        <f>H66</f>
        <v>77727</v>
      </c>
      <c r="O66" s="12"/>
      <c r="P66" s="12">
        <f>ROUND(I66-SUM(J66:N66),0)</f>
        <v>362725</v>
      </c>
      <c r="Q66" s="171"/>
      <c r="R66" s="12">
        <v>4235000</v>
      </c>
      <c r="S66" s="12">
        <f>R66-SUM(T66:T76)</f>
        <v>7411</v>
      </c>
      <c r="T66" s="16">
        <v>200000</v>
      </c>
      <c r="U66" s="113">
        <f>T66-1%*T66</f>
        <v>198000</v>
      </c>
      <c r="V66" s="15" t="s">
        <v>48</v>
      </c>
      <c r="W66" s="12">
        <f>SUM(P66:P76)-SUM(U66:U76)</f>
        <v>-1605266</v>
      </c>
    </row>
    <row r="67" spans="1:23" x14ac:dyDescent="0.25">
      <c r="A67" s="17"/>
      <c r="B67" s="31"/>
      <c r="C67" s="22">
        <v>44998</v>
      </c>
      <c r="D67" s="32">
        <v>23</v>
      </c>
      <c r="E67" s="12">
        <f>(4251823*20%)-E66</f>
        <v>122364.60000000009</v>
      </c>
      <c r="F67" s="12">
        <v>0</v>
      </c>
      <c r="G67" s="220">
        <f>ROUND(E67-F67,)</f>
        <v>122365</v>
      </c>
      <c r="H67" s="220">
        <f>ROUND(G67*$H$5,0)</f>
        <v>22026</v>
      </c>
      <c r="I67" s="12">
        <f>G67+H67</f>
        <v>144391</v>
      </c>
      <c r="J67" s="12">
        <f>ROUND(G67*$J$5,)</f>
        <v>1224</v>
      </c>
      <c r="K67" s="12">
        <f>ROUND(G67*$K$5,)</f>
        <v>6118</v>
      </c>
      <c r="L67" s="12">
        <f>ROUND(G67*$L$5,)</f>
        <v>0</v>
      </c>
      <c r="M67" s="12">
        <f>ROUND(G67*$M$5,)</f>
        <v>12237</v>
      </c>
      <c r="N67" s="223">
        <f>H67</f>
        <v>22026</v>
      </c>
      <c r="O67" s="12"/>
      <c r="P67" s="12">
        <f>ROUND(I67-SUM(J67:N67),0)</f>
        <v>102786</v>
      </c>
      <c r="Q67" s="168"/>
      <c r="R67" s="12"/>
      <c r="S67" s="12"/>
      <c r="T67" s="16">
        <v>164725</v>
      </c>
      <c r="U67" s="113">
        <v>164725</v>
      </c>
      <c r="V67" s="15" t="s">
        <v>50</v>
      </c>
      <c r="W67" s="12"/>
    </row>
    <row r="68" spans="1:23" x14ac:dyDescent="0.25">
      <c r="A68" s="17"/>
      <c r="B68" s="31"/>
      <c r="C68" s="22">
        <v>45013</v>
      </c>
      <c r="D68" s="32">
        <v>31</v>
      </c>
      <c r="E68" s="12">
        <f>(4251823*20%)</f>
        <v>850364.60000000009</v>
      </c>
      <c r="F68" s="12">
        <v>421701</v>
      </c>
      <c r="G68" s="220">
        <f>ROUND(E68-F68,)</f>
        <v>428664</v>
      </c>
      <c r="H68" s="220">
        <f>ROUND(G68*$H$5,0)</f>
        <v>77160</v>
      </c>
      <c r="I68" s="12">
        <f>G68+H68</f>
        <v>505824</v>
      </c>
      <c r="J68" s="12">
        <f>ROUND(G68*$J$5,)</f>
        <v>4287</v>
      </c>
      <c r="K68" s="12">
        <f>ROUND(G68*$K$5,)</f>
        <v>21433</v>
      </c>
      <c r="L68" s="12">
        <f>ROUND(G68*$L$5,)</f>
        <v>0</v>
      </c>
      <c r="M68" s="12">
        <f>ROUND(G68*$M$5,)</f>
        <v>42866</v>
      </c>
      <c r="N68" s="223">
        <f>H68</f>
        <v>77160</v>
      </c>
      <c r="O68" s="12"/>
      <c r="P68" s="12">
        <f>ROUND(I68-SUM(J68:N68),0)</f>
        <v>360078</v>
      </c>
      <c r="Q68" s="168"/>
      <c r="R68" s="12"/>
      <c r="S68" s="12"/>
      <c r="T68" s="16">
        <v>462864</v>
      </c>
      <c r="U68" s="113">
        <v>462864</v>
      </c>
      <c r="V68" s="15" t="s">
        <v>80</v>
      </c>
      <c r="W68" s="12"/>
    </row>
    <row r="69" spans="1:23" x14ac:dyDescent="0.25">
      <c r="A69" s="391" t="s">
        <v>112</v>
      </c>
      <c r="B69" s="42" t="s">
        <v>113</v>
      </c>
      <c r="C69" s="43">
        <v>45141</v>
      </c>
      <c r="D69" s="44" t="s">
        <v>942</v>
      </c>
      <c r="E69" s="41">
        <v>-6729.2000000001863</v>
      </c>
      <c r="F69" s="41"/>
      <c r="G69" s="220">
        <v>-6729</v>
      </c>
      <c r="H69" s="220">
        <v>-1211</v>
      </c>
      <c r="I69" s="41">
        <v>-7940</v>
      </c>
      <c r="J69" s="41">
        <v>-67</v>
      </c>
      <c r="K69" s="41">
        <v>-336</v>
      </c>
      <c r="L69" s="41">
        <v>0</v>
      </c>
      <c r="M69" s="41">
        <v>-673</v>
      </c>
      <c r="N69" s="41">
        <v>-1211</v>
      </c>
      <c r="O69" s="41"/>
      <c r="P69" s="41">
        <v>-5653</v>
      </c>
      <c r="Q69" s="168"/>
      <c r="R69" s="12"/>
      <c r="S69" s="12"/>
      <c r="T69" s="16">
        <v>200000</v>
      </c>
      <c r="U69" s="113">
        <f>T69-1%*T69</f>
        <v>198000</v>
      </c>
      <c r="V69" s="15" t="s">
        <v>129</v>
      </c>
      <c r="W69" s="12"/>
    </row>
    <row r="70" spans="1:23" x14ac:dyDescent="0.25">
      <c r="A70" s="17"/>
      <c r="B70" s="31"/>
      <c r="C70" s="22">
        <v>45337</v>
      </c>
      <c r="D70" s="95">
        <v>62210</v>
      </c>
      <c r="E70" s="12">
        <f>4235000*15%</f>
        <v>635250</v>
      </c>
      <c r="F70" s="12">
        <v>295022</v>
      </c>
      <c r="G70" s="220">
        <f>ROUND(E70-F70,)</f>
        <v>340228</v>
      </c>
      <c r="H70" s="220">
        <f>ROUND(G70*$H$5,0)</f>
        <v>61241</v>
      </c>
      <c r="I70" s="12">
        <f>G70+H70</f>
        <v>401469</v>
      </c>
      <c r="J70" s="12">
        <f>ROUND(G70*$J$5,)</f>
        <v>3402</v>
      </c>
      <c r="K70" s="12">
        <f>ROUND(G70*$K$5,)</f>
        <v>17011</v>
      </c>
      <c r="L70" s="12">
        <f>ROUND(G70*$L$5,)</f>
        <v>0</v>
      </c>
      <c r="M70" s="12">
        <f>ROUND(G70*$M$5,)</f>
        <v>34023</v>
      </c>
      <c r="N70" s="223">
        <f>H70</f>
        <v>61241</v>
      </c>
      <c r="O70" s="12"/>
      <c r="P70" s="12">
        <f>ROUND(I70-SUM(J70:N70),0)</f>
        <v>285792</v>
      </c>
      <c r="Q70" s="168"/>
      <c r="R70" s="12"/>
      <c r="S70" s="12"/>
      <c r="T70" s="16">
        <v>200000</v>
      </c>
      <c r="U70" s="113">
        <f t="shared" ref="U70:U72" si="6">T70-1%*T70</f>
        <v>198000</v>
      </c>
      <c r="V70" s="15" t="s">
        <v>141</v>
      </c>
      <c r="W70" s="12"/>
    </row>
    <row r="71" spans="1:23" ht="30" x14ac:dyDescent="0.25">
      <c r="A71" s="17"/>
      <c r="B71" s="31"/>
      <c r="C71" s="22">
        <v>45357</v>
      </c>
      <c r="D71" s="32" t="s">
        <v>424</v>
      </c>
      <c r="E71" s="12">
        <f>4235000*15%</f>
        <v>635250</v>
      </c>
      <c r="F71" s="12">
        <v>217499</v>
      </c>
      <c r="G71" s="220">
        <f>ROUND(E71-F71,)</f>
        <v>417751</v>
      </c>
      <c r="H71" s="220">
        <f>ROUND(G71*$H$5,0)</f>
        <v>75195</v>
      </c>
      <c r="I71" s="12">
        <f>G71+H71</f>
        <v>492946</v>
      </c>
      <c r="J71" s="12">
        <f>ROUND(G71*$J$5,)</f>
        <v>4178</v>
      </c>
      <c r="K71" s="12">
        <f>ROUND(G71*$K$5,)</f>
        <v>20888</v>
      </c>
      <c r="L71" s="12">
        <f>ROUND(G71*$L$5,)</f>
        <v>0</v>
      </c>
      <c r="M71" s="12">
        <f>ROUND(G71*$M$5,)</f>
        <v>41775</v>
      </c>
      <c r="N71" s="223">
        <f>H71</f>
        <v>75195</v>
      </c>
      <c r="O71" s="12"/>
      <c r="P71" s="12">
        <f>ROUND(I71-SUM(J71:N71),0)</f>
        <v>350910</v>
      </c>
      <c r="Q71" s="168"/>
      <c r="R71" s="12"/>
      <c r="S71" s="12"/>
      <c r="T71" s="16">
        <v>200000</v>
      </c>
      <c r="U71" s="113">
        <f t="shared" si="6"/>
        <v>198000</v>
      </c>
      <c r="V71" s="225" t="s">
        <v>184</v>
      </c>
      <c r="W71" s="12"/>
    </row>
    <row r="72" spans="1:23" x14ac:dyDescent="0.25">
      <c r="A72" s="17"/>
      <c r="B72" s="31"/>
      <c r="C72" s="22">
        <v>45365</v>
      </c>
      <c r="D72" s="32" t="s">
        <v>438</v>
      </c>
      <c r="E72" s="12">
        <f>4235000*10%</f>
        <v>423500</v>
      </c>
      <c r="F72" s="12">
        <v>153762.94</v>
      </c>
      <c r="G72" s="220">
        <f>ROUND(E72-F72,)</f>
        <v>269737</v>
      </c>
      <c r="H72" s="220">
        <f>ROUND(G72*$H$5,0)</f>
        <v>48553</v>
      </c>
      <c r="I72" s="12">
        <f>G72+H72</f>
        <v>318290</v>
      </c>
      <c r="J72" s="12">
        <f>ROUND(G72*$J$5,)</f>
        <v>2697</v>
      </c>
      <c r="K72" s="12">
        <f>ROUND(G72*$K$5,)</f>
        <v>13487</v>
      </c>
      <c r="L72" s="12">
        <f>ROUND(G72*$L$5,)</f>
        <v>0</v>
      </c>
      <c r="M72" s="12">
        <f>ROUND(G72*$M$5,)</f>
        <v>26974</v>
      </c>
      <c r="N72" s="223">
        <f>H72</f>
        <v>48553</v>
      </c>
      <c r="O72" s="37"/>
      <c r="P72" s="12">
        <f>ROUND(I72-SUM(J72:N72),0)</f>
        <v>226579</v>
      </c>
      <c r="Q72" s="172" t="s">
        <v>425</v>
      </c>
      <c r="R72" s="12"/>
      <c r="S72" s="12"/>
      <c r="T72" s="16">
        <v>300000</v>
      </c>
      <c r="U72" s="113">
        <f t="shared" si="6"/>
        <v>297000</v>
      </c>
      <c r="V72" s="225" t="s">
        <v>202</v>
      </c>
      <c r="W72" s="12"/>
    </row>
    <row r="73" spans="1:23" x14ac:dyDescent="0.25">
      <c r="A73" s="17"/>
      <c r="B73" s="31"/>
      <c r="C73" s="22">
        <v>45534</v>
      </c>
      <c r="D73" s="32">
        <v>66</v>
      </c>
      <c r="E73" s="12">
        <v>847000</v>
      </c>
      <c r="F73" s="12">
        <v>329792.51</v>
      </c>
      <c r="G73" s="220">
        <f>ROUND(E73-F73,)</f>
        <v>517207</v>
      </c>
      <c r="H73" s="220">
        <f>ROUND(G73*$H$5,0)</f>
        <v>93097</v>
      </c>
      <c r="I73" s="12">
        <f>G73+H73</f>
        <v>610304</v>
      </c>
      <c r="J73" s="12">
        <f>ROUND(G73*$J$5,)</f>
        <v>5172</v>
      </c>
      <c r="K73" s="12">
        <f>ROUND(G73*$K$5,)</f>
        <v>25860</v>
      </c>
      <c r="L73" s="12">
        <f>ROUND(G73*$L$5,)</f>
        <v>0</v>
      </c>
      <c r="M73" s="12"/>
      <c r="N73" s="161">
        <f>H73</f>
        <v>93097</v>
      </c>
      <c r="O73" s="37">
        <f>G73*7%</f>
        <v>36204.490000000005</v>
      </c>
      <c r="P73" s="12">
        <f>ROUND(I73-SUM(J73:O73),0)</f>
        <v>449971</v>
      </c>
      <c r="Q73" s="168"/>
      <c r="R73" s="12"/>
      <c r="S73" s="12"/>
      <c r="T73" s="16">
        <v>1500000</v>
      </c>
      <c r="U73" s="113">
        <v>1485000</v>
      </c>
      <c r="V73" s="15" t="s">
        <v>216</v>
      </c>
      <c r="W73" s="12"/>
    </row>
    <row r="74" spans="1:23" ht="28.5" x14ac:dyDescent="0.25">
      <c r="A74" s="17"/>
      <c r="B74" s="31" t="s">
        <v>575</v>
      </c>
      <c r="C74" s="22"/>
      <c r="D74" s="31" t="s">
        <v>732</v>
      </c>
      <c r="E74" s="12">
        <f>SUM(N66:N72)</f>
        <v>360691</v>
      </c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61">
        <f>E74</f>
        <v>360691</v>
      </c>
      <c r="Q74" s="168"/>
      <c r="R74" s="12"/>
      <c r="S74" s="12"/>
      <c r="T74" s="16">
        <v>500000</v>
      </c>
      <c r="U74" s="113">
        <v>490000</v>
      </c>
      <c r="V74" s="15" t="s">
        <v>494</v>
      </c>
      <c r="W74" s="12"/>
    </row>
    <row r="75" spans="1:23" x14ac:dyDescent="0.25">
      <c r="A75" s="17"/>
      <c r="B75" s="31" t="s">
        <v>575</v>
      </c>
      <c r="C75" s="22"/>
      <c r="D75" s="95">
        <v>66</v>
      </c>
      <c r="E75" s="12">
        <f>N73</f>
        <v>93097</v>
      </c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61">
        <f>E75</f>
        <v>93097</v>
      </c>
      <c r="Q75" s="168"/>
      <c r="R75" s="12"/>
      <c r="S75" s="12"/>
      <c r="T75" s="16">
        <v>300000</v>
      </c>
      <c r="U75" s="113">
        <v>297000</v>
      </c>
      <c r="V75" s="15" t="s">
        <v>568</v>
      </c>
      <c r="W75" s="12"/>
    </row>
    <row r="76" spans="1:23" x14ac:dyDescent="0.25">
      <c r="A76" s="17"/>
      <c r="B76" s="31"/>
      <c r="C76" s="22"/>
      <c r="D76" s="32"/>
      <c r="E76" s="12"/>
      <c r="F76" s="12"/>
      <c r="G76" s="12"/>
      <c r="H76" s="220"/>
      <c r="I76" s="41"/>
      <c r="J76" s="41"/>
      <c r="K76" s="41"/>
      <c r="L76" s="41">
        <v>0</v>
      </c>
      <c r="M76" s="41"/>
      <c r="N76" s="41"/>
      <c r="O76" s="41"/>
      <c r="P76" s="41">
        <v>-5653</v>
      </c>
      <c r="Q76" s="172" t="s">
        <v>418</v>
      </c>
      <c r="R76" s="12"/>
      <c r="S76" s="12"/>
      <c r="T76" s="16">
        <v>200000</v>
      </c>
      <c r="U76" s="113">
        <f t="shared" ref="U76" si="7">T76-1%*T76</f>
        <v>198000</v>
      </c>
      <c r="V76" s="15" t="s">
        <v>703</v>
      </c>
      <c r="W76" s="12"/>
    </row>
    <row r="77" spans="1:23" x14ac:dyDescent="0.25">
      <c r="A77" s="295">
        <v>53221</v>
      </c>
      <c r="B77" s="296"/>
      <c r="C77" s="297"/>
      <c r="D77" s="298"/>
      <c r="E77" s="299"/>
      <c r="F77" s="299"/>
      <c r="G77" s="299"/>
      <c r="H77" s="299"/>
      <c r="I77" s="299"/>
      <c r="J77" s="299"/>
      <c r="K77" s="299"/>
      <c r="L77" s="299"/>
      <c r="M77" s="299"/>
      <c r="N77" s="299"/>
      <c r="O77" s="299"/>
      <c r="P77" s="299"/>
      <c r="Q77" s="300">
        <f>A77</f>
        <v>53221</v>
      </c>
      <c r="R77" s="337"/>
      <c r="S77" s="337"/>
      <c r="T77" s="337"/>
      <c r="U77" s="260"/>
      <c r="V77" s="329"/>
      <c r="W77" s="337"/>
    </row>
    <row r="78" spans="1:23" x14ac:dyDescent="0.25">
      <c r="A78" s="17">
        <v>5950000</v>
      </c>
      <c r="B78" s="31" t="s">
        <v>339</v>
      </c>
      <c r="C78" s="22">
        <v>45327</v>
      </c>
      <c r="D78" s="95">
        <v>20184</v>
      </c>
      <c r="E78" s="12">
        <f>5875000*25%</f>
        <v>1468750</v>
      </c>
      <c r="F78" s="12">
        <v>720978</v>
      </c>
      <c r="G78" s="220">
        <f>E78-F78</f>
        <v>747772</v>
      </c>
      <c r="H78" s="220">
        <f>ROUND(G78*18%,)</f>
        <v>134599</v>
      </c>
      <c r="I78" s="12">
        <f>G78+H78</f>
        <v>882371</v>
      </c>
      <c r="J78" s="12">
        <f>ROUND(G78*1%,)</f>
        <v>7478</v>
      </c>
      <c r="K78" s="183">
        <f>ROUND(G78*5%,)</f>
        <v>37389</v>
      </c>
      <c r="L78" s="185"/>
      <c r="M78" s="184">
        <f>G78*10%</f>
        <v>74777.2</v>
      </c>
      <c r="N78" s="223">
        <f t="shared" ref="N78:N80" si="8">G78*18%</f>
        <v>134598.96</v>
      </c>
      <c r="O78" s="12"/>
      <c r="P78" s="12">
        <f>I78-SUM(J78:N78)</f>
        <v>628127.84000000008</v>
      </c>
      <c r="Q78" s="173" t="s">
        <v>418</v>
      </c>
      <c r="R78" s="12">
        <v>5950000</v>
      </c>
      <c r="S78" s="12">
        <f>R78-SUM(T78:T93)</f>
        <v>-287500</v>
      </c>
      <c r="T78" s="16">
        <v>500000</v>
      </c>
      <c r="U78" s="113">
        <f t="shared" ref="U78:U80" si="9">T78-1%*T78</f>
        <v>495000</v>
      </c>
      <c r="V78" s="16" t="s">
        <v>92</v>
      </c>
      <c r="W78" s="12"/>
    </row>
    <row r="79" spans="1:23" x14ac:dyDescent="0.25">
      <c r="A79" s="17" t="s">
        <v>112</v>
      </c>
      <c r="B79" s="31"/>
      <c r="C79" s="22">
        <v>45333</v>
      </c>
      <c r="D79" s="95">
        <v>52200</v>
      </c>
      <c r="E79" s="12">
        <v>6250</v>
      </c>
      <c r="F79" s="12">
        <v>0</v>
      </c>
      <c r="G79" s="220">
        <v>6250</v>
      </c>
      <c r="H79" s="220">
        <v>1125</v>
      </c>
      <c r="I79" s="12">
        <v>7375</v>
      </c>
      <c r="J79" s="12">
        <v>63</v>
      </c>
      <c r="K79" s="183">
        <v>313</v>
      </c>
      <c r="L79" s="185"/>
      <c r="M79" s="184">
        <v>625</v>
      </c>
      <c r="N79" s="223">
        <f t="shared" si="8"/>
        <v>1125</v>
      </c>
      <c r="O79" s="12"/>
      <c r="P79" s="12">
        <v>5249</v>
      </c>
      <c r="Q79" s="173" t="s">
        <v>418</v>
      </c>
      <c r="R79" s="12"/>
      <c r="S79" s="12"/>
      <c r="T79" s="16">
        <v>300000</v>
      </c>
      <c r="U79" s="113">
        <f t="shared" si="9"/>
        <v>297000</v>
      </c>
      <c r="V79" s="16" t="s">
        <v>94</v>
      </c>
      <c r="W79" s="12"/>
    </row>
    <row r="80" spans="1:23" x14ac:dyDescent="0.25">
      <c r="A80" s="17"/>
      <c r="B80" s="31"/>
      <c r="C80" s="22">
        <v>45356</v>
      </c>
      <c r="D80" s="32" t="s">
        <v>419</v>
      </c>
      <c r="E80" s="12">
        <v>885000</v>
      </c>
      <c r="F80" s="12">
        <v>216684.18</v>
      </c>
      <c r="G80" s="220">
        <f>E80-F80</f>
        <v>668315.82000000007</v>
      </c>
      <c r="H80" s="220">
        <f>ROUND(G80*18%,)</f>
        <v>120297</v>
      </c>
      <c r="I80" s="12">
        <f>G80+H80</f>
        <v>788612.82000000007</v>
      </c>
      <c r="J80" s="12">
        <f>ROUND(G80*$J$5,)</f>
        <v>6683</v>
      </c>
      <c r="K80" s="183">
        <f>ROUND(G80*$K$5,)</f>
        <v>33416</v>
      </c>
      <c r="L80" s="185"/>
      <c r="M80" s="184">
        <f>G80*10%</f>
        <v>66831.582000000009</v>
      </c>
      <c r="N80" s="223">
        <f t="shared" si="8"/>
        <v>120296.84760000001</v>
      </c>
      <c r="O80" s="12"/>
      <c r="P80" s="12">
        <f>I80-SUM(J80:N80)</f>
        <v>561385.39040000003</v>
      </c>
      <c r="Q80" s="168"/>
      <c r="R80" s="12"/>
      <c r="S80" s="12"/>
      <c r="T80" s="16">
        <v>200000</v>
      </c>
      <c r="U80" s="113">
        <f t="shared" si="9"/>
        <v>198000</v>
      </c>
      <c r="V80" s="15" t="s">
        <v>104</v>
      </c>
      <c r="W80" s="12"/>
    </row>
    <row r="81" spans="1:23" x14ac:dyDescent="0.25">
      <c r="A81" s="17"/>
      <c r="B81" s="31"/>
      <c r="C81" s="22">
        <v>45404</v>
      </c>
      <c r="D81" s="32" t="s">
        <v>500</v>
      </c>
      <c r="E81" s="12">
        <v>885000</v>
      </c>
      <c r="F81" s="12">
        <v>316871</v>
      </c>
      <c r="G81" s="220">
        <f>E81-F81</f>
        <v>568129</v>
      </c>
      <c r="H81" s="220">
        <f>G81*18%</f>
        <v>102263.22</v>
      </c>
      <c r="I81" s="12">
        <f>G81+H81</f>
        <v>670392.22</v>
      </c>
      <c r="J81" s="12">
        <v>5681.29</v>
      </c>
      <c r="K81" s="12">
        <f>28406.45</f>
        <v>28406.45</v>
      </c>
      <c r="L81" s="12" t="s">
        <v>212</v>
      </c>
      <c r="M81" s="12">
        <v>56812.9</v>
      </c>
      <c r="N81" s="223">
        <f>G81*18%</f>
        <v>102263.22</v>
      </c>
      <c r="O81" s="12">
        <v>102263</v>
      </c>
      <c r="P81" s="12">
        <v>477228.58</v>
      </c>
      <c r="Q81" s="168"/>
      <c r="R81" s="12"/>
      <c r="S81" s="12"/>
      <c r="T81" s="16">
        <v>200000</v>
      </c>
      <c r="U81" s="113">
        <f>T81-1%*T81</f>
        <v>198000</v>
      </c>
      <c r="V81" s="15" t="s">
        <v>180</v>
      </c>
      <c r="W81" s="12"/>
    </row>
    <row r="82" spans="1:23" x14ac:dyDescent="0.25">
      <c r="A82" s="17"/>
      <c r="B82" s="31"/>
      <c r="C82" s="22">
        <v>45449</v>
      </c>
      <c r="D82" s="32" t="s">
        <v>501</v>
      </c>
      <c r="E82" s="12">
        <v>885000</v>
      </c>
      <c r="F82" s="12">
        <v>125608</v>
      </c>
      <c r="G82" s="220">
        <f>E82-F82</f>
        <v>759392</v>
      </c>
      <c r="H82" s="220">
        <v>136690.56</v>
      </c>
      <c r="I82" s="12">
        <f>G82+H82</f>
        <v>896082.56</v>
      </c>
      <c r="J82" s="12">
        <f>G82*1%</f>
        <v>7593.92</v>
      </c>
      <c r="K82" s="12">
        <f>G82*5%</f>
        <v>37969.599999999999</v>
      </c>
      <c r="L82" s="12" t="s">
        <v>212</v>
      </c>
      <c r="M82" s="12">
        <f>G82*10%</f>
        <v>75939.199999999997</v>
      </c>
      <c r="N82" s="223">
        <f>G82*18%</f>
        <v>136690.56</v>
      </c>
      <c r="O82" s="12">
        <v>0</v>
      </c>
      <c r="P82" s="12">
        <f t="shared" ref="P82:P84" si="10">I82-SUM(J82:O82)</f>
        <v>637889.28000000003</v>
      </c>
      <c r="Q82" s="168"/>
      <c r="R82" s="12"/>
      <c r="S82" s="12"/>
      <c r="T82" s="16">
        <v>450000</v>
      </c>
      <c r="U82" s="113">
        <f>T82-1%*T82</f>
        <v>445500</v>
      </c>
      <c r="V82" s="15" t="s">
        <v>250</v>
      </c>
      <c r="W82" s="12"/>
    </row>
    <row r="83" spans="1:23" x14ac:dyDescent="0.25">
      <c r="A83" s="17"/>
      <c r="B83" s="31"/>
      <c r="C83" s="22">
        <v>45468</v>
      </c>
      <c r="D83" s="32" t="s">
        <v>502</v>
      </c>
      <c r="E83" s="12">
        <v>590000</v>
      </c>
      <c r="F83" s="12">
        <v>195671</v>
      </c>
      <c r="G83" s="220">
        <f>E83-F83</f>
        <v>394329</v>
      </c>
      <c r="H83" s="220">
        <f>G83*18%</f>
        <v>70979.22</v>
      </c>
      <c r="I83" s="12">
        <f>G83+H83</f>
        <v>465308.22</v>
      </c>
      <c r="J83" s="12">
        <f>G83*1%</f>
        <v>3943.29</v>
      </c>
      <c r="K83" s="12">
        <f>G83*5%</f>
        <v>19716.45</v>
      </c>
      <c r="L83" s="12" t="s">
        <v>212</v>
      </c>
      <c r="M83" s="12">
        <v>0</v>
      </c>
      <c r="N83" s="223">
        <f>G83*18%</f>
        <v>70979.22</v>
      </c>
      <c r="O83" s="12">
        <v>295000</v>
      </c>
      <c r="P83" s="12">
        <f t="shared" si="10"/>
        <v>75669.259999999951</v>
      </c>
      <c r="Q83" s="168"/>
      <c r="R83" s="12"/>
      <c r="S83" s="12"/>
      <c r="T83" s="188">
        <v>712500</v>
      </c>
      <c r="U83" s="113">
        <v>712500</v>
      </c>
      <c r="V83" s="15" t="s">
        <v>411</v>
      </c>
      <c r="W83" s="12">
        <v>-2937175.17</v>
      </c>
    </row>
    <row r="84" spans="1:23" x14ac:dyDescent="0.25">
      <c r="A84" s="17"/>
      <c r="B84" s="31"/>
      <c r="C84" s="22">
        <v>45534</v>
      </c>
      <c r="D84" s="32">
        <v>67</v>
      </c>
      <c r="E84" s="12">
        <v>590000</v>
      </c>
      <c r="F84" s="12">
        <v>310407.93</v>
      </c>
      <c r="G84" s="220">
        <f>E84-F84</f>
        <v>279592.07</v>
      </c>
      <c r="H84" s="220">
        <f>G84*18%</f>
        <v>50326.5726</v>
      </c>
      <c r="I84" s="12">
        <f>G84+H84</f>
        <v>329918.64260000002</v>
      </c>
      <c r="J84" s="12">
        <f>G84*1%</f>
        <v>2795.9207000000001</v>
      </c>
      <c r="K84" s="12">
        <f>G84*5%</f>
        <v>13979.603500000001</v>
      </c>
      <c r="L84" s="12"/>
      <c r="M84" s="12"/>
      <c r="N84" s="161">
        <f>G84*18%</f>
        <v>50326.5726</v>
      </c>
      <c r="O84" s="12">
        <f>G84*7%</f>
        <v>19571.444900000002</v>
      </c>
      <c r="P84" s="12">
        <f t="shared" si="10"/>
        <v>243245.10090000002</v>
      </c>
      <c r="Q84" s="168"/>
      <c r="R84" s="12"/>
      <c r="S84" s="12"/>
      <c r="T84" s="16">
        <v>500000</v>
      </c>
      <c r="U84" s="113">
        <v>495000</v>
      </c>
      <c r="V84" s="15" t="s">
        <v>454</v>
      </c>
      <c r="W84" s="12"/>
    </row>
    <row r="85" spans="1:23" ht="28.5" x14ac:dyDescent="0.25">
      <c r="A85" s="17"/>
      <c r="B85" s="31" t="s">
        <v>575</v>
      </c>
      <c r="C85" s="22"/>
      <c r="D85" s="31" t="s">
        <v>651</v>
      </c>
      <c r="E85" s="12">
        <f>SUM(N78:N84)</f>
        <v>616280.38020000001</v>
      </c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61">
        <f>E85</f>
        <v>616280.38020000001</v>
      </c>
      <c r="Q85" s="168"/>
      <c r="R85" s="12"/>
      <c r="S85" s="12"/>
      <c r="T85" s="16">
        <v>500000</v>
      </c>
      <c r="U85" s="113">
        <v>495000</v>
      </c>
      <c r="V85" s="15" t="s">
        <v>493</v>
      </c>
      <c r="W85" s="12"/>
    </row>
    <row r="86" spans="1:23" x14ac:dyDescent="0.15">
      <c r="A86" s="17"/>
      <c r="B86" s="31"/>
      <c r="C86" s="22"/>
      <c r="D86" s="31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61"/>
      <c r="Q86" s="168"/>
      <c r="R86" s="12"/>
      <c r="S86" s="12"/>
      <c r="T86" s="16">
        <v>300000</v>
      </c>
      <c r="U86" s="113">
        <v>297000</v>
      </c>
      <c r="V86" s="237" t="s">
        <v>768</v>
      </c>
      <c r="W86" s="12"/>
    </row>
    <row r="87" spans="1:23" x14ac:dyDescent="0.25">
      <c r="A87" s="17"/>
      <c r="B87" s="31"/>
      <c r="C87" s="22"/>
      <c r="D87" s="3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68"/>
      <c r="R87" s="12"/>
      <c r="S87" s="12"/>
      <c r="T87" s="16">
        <v>500000</v>
      </c>
      <c r="U87" s="113">
        <v>495000</v>
      </c>
      <c r="V87" s="16" t="s">
        <v>574</v>
      </c>
      <c r="W87" s="12"/>
    </row>
    <row r="88" spans="1:23" x14ac:dyDescent="0.25">
      <c r="A88" s="17"/>
      <c r="B88" s="31"/>
      <c r="C88" s="22"/>
      <c r="D88" s="3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68"/>
      <c r="R88" s="12"/>
      <c r="S88" s="12"/>
      <c r="T88" s="16">
        <v>400000</v>
      </c>
      <c r="U88" s="113">
        <v>396000</v>
      </c>
      <c r="V88" s="16" t="s">
        <v>617</v>
      </c>
      <c r="W88" s="12"/>
    </row>
    <row r="89" spans="1:23" x14ac:dyDescent="0.25">
      <c r="A89" s="17"/>
      <c r="B89" s="31"/>
      <c r="C89" s="22"/>
      <c r="D89" s="3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68"/>
      <c r="R89" s="12"/>
      <c r="S89" s="12"/>
      <c r="T89" s="16">
        <v>400000</v>
      </c>
      <c r="U89" s="113">
        <v>396000</v>
      </c>
      <c r="V89" s="16" t="s">
        <v>665</v>
      </c>
      <c r="W89" s="12"/>
    </row>
    <row r="90" spans="1:23" x14ac:dyDescent="0.25">
      <c r="A90" s="17"/>
      <c r="B90" s="31"/>
      <c r="C90" s="22"/>
      <c r="D90" s="3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68"/>
      <c r="R90" s="12"/>
      <c r="S90" s="12"/>
      <c r="T90" s="16">
        <v>500000</v>
      </c>
      <c r="U90" s="113">
        <v>495000</v>
      </c>
      <c r="V90" s="16" t="s">
        <v>667</v>
      </c>
      <c r="W90" s="12"/>
    </row>
    <row r="91" spans="1:23" x14ac:dyDescent="0.25">
      <c r="A91" s="17"/>
      <c r="B91" s="31"/>
      <c r="C91" s="22"/>
      <c r="D91" s="3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68"/>
      <c r="R91" s="12"/>
      <c r="S91" s="12"/>
      <c r="T91" s="16">
        <v>300000</v>
      </c>
      <c r="U91" s="113">
        <v>297000</v>
      </c>
      <c r="V91" s="16" t="s">
        <v>675</v>
      </c>
      <c r="W91" s="12"/>
    </row>
    <row r="92" spans="1:23" x14ac:dyDescent="0.25">
      <c r="A92" s="17"/>
      <c r="B92" s="31"/>
      <c r="C92" s="22"/>
      <c r="D92" s="3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68"/>
      <c r="R92" s="12"/>
      <c r="S92" s="12"/>
      <c r="T92" s="16">
        <v>400000</v>
      </c>
      <c r="U92" s="113">
        <v>396000</v>
      </c>
      <c r="V92" s="16" t="s">
        <v>701</v>
      </c>
      <c r="W92" s="12"/>
    </row>
    <row r="93" spans="1:23" x14ac:dyDescent="0.25">
      <c r="A93" s="17"/>
      <c r="B93" s="31"/>
      <c r="C93" s="22"/>
      <c r="D93" s="3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68"/>
      <c r="R93" s="12"/>
      <c r="S93" s="12"/>
      <c r="T93" s="16">
        <v>75000</v>
      </c>
      <c r="U93" s="113">
        <v>74250</v>
      </c>
      <c r="V93" s="16" t="s">
        <v>724</v>
      </c>
      <c r="W93" s="12"/>
    </row>
    <row r="94" spans="1:23" x14ac:dyDescent="0.25">
      <c r="A94" s="295">
        <v>53222</v>
      </c>
      <c r="B94" s="296"/>
      <c r="C94" s="297"/>
      <c r="D94" s="298"/>
      <c r="E94" s="299"/>
      <c r="F94" s="299"/>
      <c r="G94" s="299"/>
      <c r="H94" s="299"/>
      <c r="I94" s="299"/>
      <c r="J94" s="299"/>
      <c r="K94" s="299"/>
      <c r="L94" s="299"/>
      <c r="M94" s="299"/>
      <c r="N94" s="299"/>
      <c r="O94" s="299"/>
      <c r="P94" s="299"/>
      <c r="Q94" s="300">
        <f>A94</f>
        <v>53222</v>
      </c>
      <c r="R94" s="299"/>
      <c r="S94" s="299"/>
      <c r="T94" s="299"/>
      <c r="U94" s="260"/>
      <c r="V94" s="261"/>
      <c r="W94" s="299"/>
    </row>
    <row r="95" spans="1:23" x14ac:dyDescent="0.25">
      <c r="A95" s="17">
        <v>3780000</v>
      </c>
      <c r="B95" s="31" t="s">
        <v>338</v>
      </c>
      <c r="C95" s="22">
        <v>45030</v>
      </c>
      <c r="D95" s="32">
        <v>1</v>
      </c>
      <c r="E95" s="12">
        <f>4251823*25%</f>
        <v>1062955.75</v>
      </c>
      <c r="F95" s="12">
        <v>380270</v>
      </c>
      <c r="G95" s="220">
        <f>ROUND(E95-F95,)</f>
        <v>682686</v>
      </c>
      <c r="H95" s="220">
        <f>ROUND(G95*$H$5,0)</f>
        <v>122883</v>
      </c>
      <c r="I95" s="12">
        <f>G95+H95</f>
        <v>805569</v>
      </c>
      <c r="J95" s="12">
        <f>ROUND(G95*$J$5,)</f>
        <v>6827</v>
      </c>
      <c r="K95" s="12">
        <f>ROUND(G95*$K$5,)</f>
        <v>34134</v>
      </c>
      <c r="L95" s="12">
        <f>ROUND(G95*$L$5,)</f>
        <v>0</v>
      </c>
      <c r="M95" s="12">
        <f>ROUND(G95*$M$5,)</f>
        <v>68269</v>
      </c>
      <c r="N95" s="161">
        <f>H95</f>
        <v>122883</v>
      </c>
      <c r="O95" s="12"/>
      <c r="P95" s="12">
        <f>ROUND(I95-SUM(J95:O95),0)</f>
        <v>573456</v>
      </c>
      <c r="Q95" s="168"/>
      <c r="R95" s="12">
        <v>3780000</v>
      </c>
      <c r="S95" s="12">
        <f>R95-SUM(T95:T105)</f>
        <v>1544</v>
      </c>
      <c r="T95" s="16">
        <v>300000</v>
      </c>
      <c r="U95" s="113">
        <f>T95-1%*T95</f>
        <v>297000</v>
      </c>
      <c r="V95" s="15" t="s">
        <v>58</v>
      </c>
      <c r="W95" s="12">
        <f>SUM(P95:P105)-SUM(U95:U105)</f>
        <v>-1121554</v>
      </c>
    </row>
    <row r="96" spans="1:23" x14ac:dyDescent="0.25">
      <c r="A96" s="17"/>
      <c r="B96" s="31" t="s">
        <v>338</v>
      </c>
      <c r="C96" s="22">
        <v>45069</v>
      </c>
      <c r="D96" s="32">
        <v>15</v>
      </c>
      <c r="E96" s="12">
        <f>(4251823*40%)-E95</f>
        <v>637773.45000000019</v>
      </c>
      <c r="F96" s="12">
        <v>463403</v>
      </c>
      <c r="G96" s="220">
        <f>ROUND(E96-F96,)</f>
        <v>174370</v>
      </c>
      <c r="H96" s="220">
        <f>ROUND(G96*$H$5,0)</f>
        <v>31387</v>
      </c>
      <c r="I96" s="12">
        <f>G96+H96</f>
        <v>205757</v>
      </c>
      <c r="J96" s="12">
        <f>ROUND(G96*$J$5,)</f>
        <v>1744</v>
      </c>
      <c r="K96" s="12">
        <f>ROUND(G96*$K$5,)</f>
        <v>8719</v>
      </c>
      <c r="L96" s="12">
        <f>ROUND(G96*$L$5,)</f>
        <v>0</v>
      </c>
      <c r="M96" s="12">
        <f>ROUND(G96*$M$5,)</f>
        <v>17437</v>
      </c>
      <c r="N96" s="161">
        <f>H96</f>
        <v>31387</v>
      </c>
      <c r="O96" s="12"/>
      <c r="P96" s="12">
        <f t="shared" ref="P96:P97" si="11">ROUND(I96-SUM(J96:O96),0)</f>
        <v>146470</v>
      </c>
      <c r="Q96" s="168"/>
      <c r="R96" s="12"/>
      <c r="S96" s="12"/>
      <c r="T96" s="16">
        <v>200000</v>
      </c>
      <c r="U96" s="113">
        <f>T96-1%*T96</f>
        <v>198000</v>
      </c>
      <c r="V96" s="15" t="s">
        <v>60</v>
      </c>
      <c r="W96" s="12"/>
    </row>
    <row r="97" spans="1:60" x14ac:dyDescent="0.25">
      <c r="A97" s="17"/>
      <c r="B97" s="31" t="s">
        <v>338</v>
      </c>
      <c r="C97" s="22">
        <v>45139</v>
      </c>
      <c r="D97" s="231" t="s">
        <v>400</v>
      </c>
      <c r="E97" s="12">
        <v>637773.44999999995</v>
      </c>
      <c r="F97" s="12">
        <v>363447</v>
      </c>
      <c r="G97" s="220">
        <f>ROUND(E97-F97,)</f>
        <v>274326</v>
      </c>
      <c r="H97" s="220">
        <f>ROUND(G97*$H$5,0)</f>
        <v>49379</v>
      </c>
      <c r="I97" s="12">
        <f>G97+H97</f>
        <v>323705</v>
      </c>
      <c r="J97" s="12">
        <f>ROUND(G97*$J$5,)</f>
        <v>2743</v>
      </c>
      <c r="K97" s="12">
        <f>ROUND(G97*$K$5,)</f>
        <v>13716</v>
      </c>
      <c r="L97" s="12">
        <f>ROUND(G97*$L$5,)</f>
        <v>0</v>
      </c>
      <c r="M97" s="12">
        <f>ROUND(G97*$M$5,)</f>
        <v>27433</v>
      </c>
      <c r="N97" s="404">
        <f>H97</f>
        <v>49379</v>
      </c>
      <c r="O97" s="12"/>
      <c r="P97" s="12">
        <f t="shared" si="11"/>
        <v>230434</v>
      </c>
      <c r="Q97" s="168"/>
      <c r="R97" s="12"/>
      <c r="S97" s="12"/>
      <c r="T97" s="16">
        <v>78456</v>
      </c>
      <c r="U97" s="113">
        <v>78456</v>
      </c>
      <c r="V97" s="15" t="s">
        <v>67</v>
      </c>
      <c r="W97" s="12"/>
    </row>
    <row r="98" spans="1:60" x14ac:dyDescent="0.25">
      <c r="A98" s="17" t="s">
        <v>112</v>
      </c>
      <c r="B98" s="31" t="s">
        <v>113</v>
      </c>
      <c r="C98" s="22">
        <v>45141</v>
      </c>
      <c r="D98" s="32">
        <v>2</v>
      </c>
      <c r="E98" s="12">
        <v>-9252.65</v>
      </c>
      <c r="F98" s="12"/>
      <c r="G98" s="220">
        <v>-9253</v>
      </c>
      <c r="H98" s="220">
        <v>-1666</v>
      </c>
      <c r="I98" s="12">
        <v>-10919</v>
      </c>
      <c r="J98" s="12"/>
      <c r="K98" s="12"/>
      <c r="L98" s="12"/>
      <c r="M98" s="12"/>
      <c r="N98" s="12"/>
      <c r="O98" s="12"/>
      <c r="P98" s="12">
        <f>I98</f>
        <v>-10919</v>
      </c>
      <c r="Q98" s="168"/>
      <c r="R98" s="12"/>
      <c r="S98" s="12"/>
      <c r="T98" s="16">
        <v>500000</v>
      </c>
      <c r="U98" s="113">
        <f>T98-1%*T98</f>
        <v>495000</v>
      </c>
      <c r="V98" s="15" t="s">
        <v>69</v>
      </c>
      <c r="W98" s="12"/>
    </row>
    <row r="99" spans="1:60" x14ac:dyDescent="0.25">
      <c r="A99" s="17"/>
      <c r="B99" s="31" t="s">
        <v>116</v>
      </c>
      <c r="C99" s="22"/>
      <c r="D99" s="32" t="s">
        <v>594</v>
      </c>
      <c r="E99" s="12">
        <f>SUM(N95:N97)</f>
        <v>203649</v>
      </c>
      <c r="F99" s="12"/>
      <c r="G99" s="12">
        <v>0</v>
      </c>
      <c r="H99" s="12"/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f>H915</f>
        <v>0</v>
      </c>
      <c r="O99" s="12"/>
      <c r="P99" s="161">
        <f>E99</f>
        <v>203649</v>
      </c>
      <c r="Q99" s="168"/>
      <c r="R99" s="12"/>
      <c r="S99" s="12"/>
      <c r="T99" s="16">
        <v>300000</v>
      </c>
      <c r="U99" s="113">
        <f t="shared" ref="U99:U100" si="12">T99-1%*T99</f>
        <v>297000</v>
      </c>
      <c r="V99" s="15" t="s">
        <v>82</v>
      </c>
      <c r="W99" s="12"/>
    </row>
    <row r="100" spans="1:60" x14ac:dyDescent="0.25">
      <c r="A100" s="17"/>
      <c r="B100" s="31" t="s">
        <v>338</v>
      </c>
      <c r="C100" s="22">
        <v>45534</v>
      </c>
      <c r="D100" s="32">
        <v>65</v>
      </c>
      <c r="E100" s="12">
        <v>1482250</v>
      </c>
      <c r="F100" s="12">
        <v>330043</v>
      </c>
      <c r="G100" s="220">
        <f>ROUND(E100-F100,)</f>
        <v>1152207</v>
      </c>
      <c r="H100" s="220">
        <f>ROUND(G100*$H$5,0)</f>
        <v>207397</v>
      </c>
      <c r="I100" s="12">
        <f>G100+H100</f>
        <v>1359604</v>
      </c>
      <c r="J100" s="12">
        <f>ROUND(G100*$J$5,)</f>
        <v>11522</v>
      </c>
      <c r="K100" s="12">
        <f>ROUND(G100*$K$5,)</f>
        <v>57610</v>
      </c>
      <c r="L100" s="12">
        <f>ROUND(G100*$L$5,)</f>
        <v>0</v>
      </c>
      <c r="M100" s="12">
        <v>0</v>
      </c>
      <c r="N100" s="223">
        <f>H100</f>
        <v>207397</v>
      </c>
      <c r="O100" s="12"/>
      <c r="P100" s="12">
        <f t="shared" ref="P100" si="13">ROUND(I100-SUM(J100:O100),0)</f>
        <v>1083075</v>
      </c>
      <c r="Q100" s="168"/>
      <c r="R100" s="12"/>
      <c r="S100" s="12"/>
      <c r="T100" s="16">
        <v>200000</v>
      </c>
      <c r="U100" s="113">
        <f t="shared" si="12"/>
        <v>198000</v>
      </c>
      <c r="V100" s="15" t="s">
        <v>108</v>
      </c>
      <c r="W100" s="12"/>
    </row>
    <row r="101" spans="1:60" x14ac:dyDescent="0.25">
      <c r="A101" s="17"/>
      <c r="B101" s="31" t="s">
        <v>116</v>
      </c>
      <c r="C101" s="22"/>
      <c r="D101" s="32">
        <v>65</v>
      </c>
      <c r="E101" s="12">
        <f>N100</f>
        <v>207397</v>
      </c>
      <c r="F101" s="12"/>
      <c r="G101" s="12">
        <v>0</v>
      </c>
      <c r="H101" s="12"/>
      <c r="I101" s="12">
        <v>0</v>
      </c>
      <c r="J101" s="12">
        <v>0</v>
      </c>
      <c r="K101" s="12">
        <v>0</v>
      </c>
      <c r="L101" s="12">
        <v>0</v>
      </c>
      <c r="M101" s="12">
        <v>0</v>
      </c>
      <c r="N101" s="12">
        <f>H917</f>
        <v>0</v>
      </c>
      <c r="O101" s="12"/>
      <c r="P101" s="161">
        <f>E101</f>
        <v>207397</v>
      </c>
      <c r="Q101" s="168"/>
      <c r="R101" s="12"/>
      <c r="S101" s="12"/>
      <c r="T101" s="16">
        <v>500000</v>
      </c>
      <c r="U101" s="113">
        <v>495000</v>
      </c>
      <c r="V101" s="15" t="s">
        <v>492</v>
      </c>
      <c r="W101" s="12"/>
    </row>
    <row r="102" spans="1:60" x14ac:dyDescent="0.25">
      <c r="A102" s="17"/>
      <c r="B102" s="31" t="s">
        <v>338</v>
      </c>
      <c r="C102" s="22">
        <v>45711</v>
      </c>
      <c r="D102" s="32">
        <v>147</v>
      </c>
      <c r="E102" s="12">
        <v>423500</v>
      </c>
      <c r="F102" s="12"/>
      <c r="G102" s="220">
        <f>E102-F102</f>
        <v>423500</v>
      </c>
      <c r="H102" s="220">
        <f>ROUND(G102*18%,)</f>
        <v>76230</v>
      </c>
      <c r="I102" s="12">
        <f>G102+H102</f>
        <v>499730</v>
      </c>
      <c r="J102" s="12">
        <f>ROUND(G102*$J$5,)</f>
        <v>4235</v>
      </c>
      <c r="K102" s="12">
        <f>ROUND(G102*$K$5,)</f>
        <v>21175</v>
      </c>
      <c r="L102" s="12">
        <v>0</v>
      </c>
      <c r="M102" s="12"/>
      <c r="N102" s="161">
        <f>H102</f>
        <v>76230</v>
      </c>
      <c r="O102" s="12">
        <v>211750</v>
      </c>
      <c r="P102" s="12">
        <f>I102-SUM(J102:O102)</f>
        <v>186340</v>
      </c>
      <c r="Q102" s="168"/>
      <c r="R102" s="12"/>
      <c r="S102" s="12"/>
      <c r="T102" s="16">
        <v>500000</v>
      </c>
      <c r="U102" s="113">
        <v>495000</v>
      </c>
      <c r="V102" s="15" t="s">
        <v>549</v>
      </c>
      <c r="W102" s="12"/>
    </row>
    <row r="103" spans="1:60" x14ac:dyDescent="0.25">
      <c r="A103" s="17"/>
      <c r="B103" s="31"/>
      <c r="C103" s="22"/>
      <c r="D103" s="3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68"/>
      <c r="R103" s="12"/>
      <c r="S103" s="12"/>
      <c r="T103" s="16">
        <v>500000</v>
      </c>
      <c r="U103" s="113">
        <v>495000</v>
      </c>
      <c r="V103" s="15" t="s">
        <v>567</v>
      </c>
      <c r="W103" s="12"/>
    </row>
    <row r="104" spans="1:60" x14ac:dyDescent="0.25">
      <c r="A104" s="17"/>
      <c r="B104" s="31"/>
      <c r="C104" s="22"/>
      <c r="D104" s="3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68"/>
      <c r="R104" s="12"/>
      <c r="S104" s="12"/>
      <c r="T104" s="16">
        <v>500000</v>
      </c>
      <c r="U104" s="113">
        <v>495000</v>
      </c>
      <c r="V104" s="15" t="s">
        <v>646</v>
      </c>
      <c r="W104" s="12"/>
    </row>
    <row r="105" spans="1:60" s="29" customFormat="1" x14ac:dyDescent="0.25">
      <c r="A105" s="17"/>
      <c r="B105" s="31"/>
      <c r="C105" s="22"/>
      <c r="D105" s="3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68"/>
      <c r="R105" s="12"/>
      <c r="S105" s="12"/>
      <c r="T105" s="16">
        <v>200000</v>
      </c>
      <c r="U105" s="113">
        <v>198000</v>
      </c>
      <c r="V105" s="15" t="s">
        <v>704</v>
      </c>
      <c r="W105" s="12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</row>
    <row r="106" spans="1:60" x14ac:dyDescent="0.25">
      <c r="A106" s="295">
        <v>53223</v>
      </c>
      <c r="B106" s="296"/>
      <c r="C106" s="297"/>
      <c r="D106" s="298"/>
      <c r="E106" s="299"/>
      <c r="F106" s="299"/>
      <c r="G106" s="299"/>
      <c r="H106" s="299"/>
      <c r="I106" s="299"/>
      <c r="J106" s="299"/>
      <c r="K106" s="299"/>
      <c r="L106" s="299"/>
      <c r="M106" s="299"/>
      <c r="N106" s="299"/>
      <c r="O106" s="299"/>
      <c r="P106" s="299"/>
      <c r="Q106" s="300">
        <f>A106</f>
        <v>53223</v>
      </c>
      <c r="R106" s="259"/>
      <c r="S106" s="259"/>
      <c r="T106" s="259"/>
      <c r="U106" s="260"/>
      <c r="V106" s="261"/>
      <c r="W106" s="259"/>
    </row>
    <row r="107" spans="1:60" x14ac:dyDescent="0.25">
      <c r="A107" s="17">
        <v>2475000</v>
      </c>
      <c r="B107" s="31" t="s">
        <v>333</v>
      </c>
      <c r="C107" s="22">
        <v>45366</v>
      </c>
      <c r="D107" s="32" t="s">
        <v>443</v>
      </c>
      <c r="E107" s="12">
        <f>2475000*15%</f>
        <v>371250</v>
      </c>
      <c r="F107" s="12">
        <v>179560.91</v>
      </c>
      <c r="G107" s="220">
        <f>E107-F107</f>
        <v>191689.09</v>
      </c>
      <c r="H107" s="220">
        <f>ROUND(G107*18%,)</f>
        <v>34504</v>
      </c>
      <c r="I107" s="12">
        <f>G107+H107</f>
        <v>226193.09</v>
      </c>
      <c r="J107" s="12">
        <f>ROUND(G107*$J$5,)</f>
        <v>1917</v>
      </c>
      <c r="K107" s="12">
        <f>ROUND(G107*$K$5,)</f>
        <v>9584</v>
      </c>
      <c r="L107" s="12">
        <f>ROUND(G107*$L$7,)</f>
        <v>0</v>
      </c>
      <c r="M107" s="12">
        <f>ROUND(G107*$M$5,)</f>
        <v>19169</v>
      </c>
      <c r="N107" s="161">
        <f>H107</f>
        <v>34504</v>
      </c>
      <c r="O107" s="12">
        <v>56357</v>
      </c>
      <c r="P107" s="12">
        <f>I107-SUM(J107:O107)</f>
        <v>104662.09</v>
      </c>
      <c r="Q107" s="174"/>
      <c r="R107" s="37">
        <v>2475000</v>
      </c>
      <c r="S107" s="12">
        <f>R108-SUM(T107:T110)</f>
        <v>32500</v>
      </c>
      <c r="T107" s="40">
        <v>200000</v>
      </c>
      <c r="U107" s="113">
        <f t="shared" ref="U107:U156" si="14">T107-1%*T107</f>
        <v>198000</v>
      </c>
      <c r="V107" s="15" t="s">
        <v>191</v>
      </c>
      <c r="W107" s="12">
        <v>-590329.91</v>
      </c>
    </row>
    <row r="108" spans="1:60" x14ac:dyDescent="0.25">
      <c r="A108" s="17">
        <f>A107*70%</f>
        <v>1732500</v>
      </c>
      <c r="B108" s="31" t="s">
        <v>116</v>
      </c>
      <c r="C108" s="22"/>
      <c r="D108" s="32">
        <v>242</v>
      </c>
      <c r="E108" s="12">
        <f>N107</f>
        <v>34504</v>
      </c>
      <c r="F108" s="12"/>
      <c r="G108" s="12"/>
      <c r="H108" s="12"/>
      <c r="I108" s="12"/>
      <c r="J108" s="12"/>
      <c r="K108" s="12"/>
      <c r="L108" s="12"/>
      <c r="M108" s="12"/>
      <c r="N108" s="37"/>
      <c r="O108" s="37"/>
      <c r="P108" s="161">
        <f>E108</f>
        <v>34504</v>
      </c>
      <c r="Q108" s="174"/>
      <c r="R108" s="37">
        <f>R107*70%</f>
        <v>1732500</v>
      </c>
      <c r="S108" s="37"/>
      <c r="T108" s="40">
        <v>500000</v>
      </c>
      <c r="U108" s="113">
        <v>495000</v>
      </c>
      <c r="V108" s="15" t="s">
        <v>480</v>
      </c>
      <c r="W108" s="37"/>
    </row>
    <row r="109" spans="1:60" x14ac:dyDescent="0.25">
      <c r="A109" s="17"/>
      <c r="B109" s="31" t="s">
        <v>333</v>
      </c>
      <c r="C109" s="22">
        <v>45544</v>
      </c>
      <c r="D109" s="32">
        <v>83</v>
      </c>
      <c r="E109" s="12">
        <v>742500</v>
      </c>
      <c r="F109" s="12"/>
      <c r="G109" s="220">
        <f>E109-F109</f>
        <v>742500</v>
      </c>
      <c r="H109" s="220">
        <f>ROUND(G109*18%,)</f>
        <v>133650</v>
      </c>
      <c r="I109" s="12">
        <f>G109+H109</f>
        <v>876150</v>
      </c>
      <c r="J109" s="12">
        <f>ROUND(G109*$J$5,)</f>
        <v>7425</v>
      </c>
      <c r="K109" s="12">
        <f>ROUND(G109*$K$5,)</f>
        <v>37125</v>
      </c>
      <c r="L109" s="12">
        <f>ROUND(G109*$L$7,)</f>
        <v>0</v>
      </c>
      <c r="M109" s="12"/>
      <c r="N109" s="161">
        <f>H109</f>
        <v>133650</v>
      </c>
      <c r="O109" s="12">
        <f>G109*5%</f>
        <v>37125</v>
      </c>
      <c r="P109" s="12">
        <f>I109-SUM(J109:O109)</f>
        <v>660825</v>
      </c>
      <c r="Q109" s="174"/>
      <c r="R109" s="37"/>
      <c r="S109" s="37"/>
      <c r="T109" s="40">
        <v>500000</v>
      </c>
      <c r="U109" s="113">
        <v>495000</v>
      </c>
      <c r="V109" s="15" t="s">
        <v>503</v>
      </c>
      <c r="W109" s="37"/>
    </row>
    <row r="110" spans="1:60" x14ac:dyDescent="0.25">
      <c r="A110" s="17"/>
      <c r="B110" s="31" t="s">
        <v>116</v>
      </c>
      <c r="C110" s="22"/>
      <c r="D110" s="32">
        <v>83</v>
      </c>
      <c r="E110" s="12">
        <f>N109</f>
        <v>133650</v>
      </c>
      <c r="F110" s="12"/>
      <c r="G110" s="12"/>
      <c r="H110" s="12"/>
      <c r="I110" s="12"/>
      <c r="J110" s="12"/>
      <c r="K110" s="12"/>
      <c r="L110" s="12"/>
      <c r="M110" s="12"/>
      <c r="N110" s="37"/>
      <c r="O110" s="37"/>
      <c r="P110" s="161">
        <f>E110</f>
        <v>133650</v>
      </c>
      <c r="Q110" s="174"/>
      <c r="R110" s="37"/>
      <c r="S110" s="37"/>
      <c r="T110" s="40">
        <v>500000</v>
      </c>
      <c r="U110" s="113">
        <v>495000</v>
      </c>
      <c r="V110" s="15" t="s">
        <v>552</v>
      </c>
      <c r="W110" s="37"/>
    </row>
    <row r="111" spans="1:60" x14ac:dyDescent="0.25">
      <c r="A111" s="17"/>
      <c r="B111" s="31" t="s">
        <v>333</v>
      </c>
      <c r="C111" s="22">
        <v>45710</v>
      </c>
      <c r="D111" s="32">
        <v>145</v>
      </c>
      <c r="E111" s="12">
        <v>618750</v>
      </c>
      <c r="F111" s="12"/>
      <c r="G111" s="220">
        <f>E111-F111</f>
        <v>618750</v>
      </c>
      <c r="H111" s="220">
        <f>ROUND(G111*18%,)</f>
        <v>111375</v>
      </c>
      <c r="I111" s="12">
        <f>G111+H111</f>
        <v>730125</v>
      </c>
      <c r="J111" s="12">
        <f>ROUND(G111*$J$5,)</f>
        <v>6188</v>
      </c>
      <c r="K111" s="12">
        <f>ROUND(G111*$K$5,)</f>
        <v>30938</v>
      </c>
      <c r="L111" s="12">
        <v>0</v>
      </c>
      <c r="M111" s="12"/>
      <c r="N111" s="161">
        <f>H111</f>
        <v>111375</v>
      </c>
      <c r="O111" s="12">
        <v>422595</v>
      </c>
      <c r="P111" s="12">
        <f>I111-SUM(J111:O111)</f>
        <v>159029</v>
      </c>
      <c r="Q111" s="182"/>
      <c r="R111" s="37"/>
      <c r="S111" s="37"/>
      <c r="T111" s="37"/>
      <c r="U111" s="181"/>
      <c r="V111" s="14"/>
      <c r="W111" s="37"/>
    </row>
    <row r="112" spans="1:60" s="29" customFormat="1" x14ac:dyDescent="0.25">
      <c r="A112" s="17"/>
      <c r="B112" s="31"/>
      <c r="C112" s="22"/>
      <c r="D112" s="32"/>
      <c r="E112" s="12"/>
      <c r="F112" s="12"/>
      <c r="G112" s="12"/>
      <c r="H112" s="12"/>
      <c r="I112" s="12"/>
      <c r="J112" s="12"/>
      <c r="K112" s="12"/>
      <c r="L112" s="12"/>
      <c r="M112" s="12"/>
      <c r="N112" s="37"/>
      <c r="O112" s="37"/>
      <c r="P112" s="161"/>
      <c r="Q112" s="174"/>
      <c r="R112" s="37"/>
      <c r="S112" s="37"/>
      <c r="T112" s="37"/>
      <c r="U112" s="181"/>
      <c r="V112" s="14"/>
      <c r="W112" s="37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</row>
    <row r="113" spans="1:60" x14ac:dyDescent="0.25">
      <c r="A113" s="295">
        <v>53224</v>
      </c>
      <c r="B113" s="296"/>
      <c r="C113" s="297"/>
      <c r="D113" s="298"/>
      <c r="E113" s="299"/>
      <c r="F113" s="299"/>
      <c r="G113" s="299"/>
      <c r="H113" s="299"/>
      <c r="I113" s="299"/>
      <c r="J113" s="299"/>
      <c r="K113" s="299"/>
      <c r="L113" s="299"/>
      <c r="M113" s="299"/>
      <c r="N113" s="299"/>
      <c r="O113" s="299"/>
      <c r="P113" s="299"/>
      <c r="Q113" s="300">
        <f>A113</f>
        <v>53224</v>
      </c>
      <c r="R113" s="259"/>
      <c r="S113" s="259"/>
      <c r="T113" s="259"/>
      <c r="U113" s="260"/>
      <c r="V113" s="261"/>
      <c r="W113" s="259"/>
    </row>
    <row r="114" spans="1:60" x14ac:dyDescent="0.25">
      <c r="A114" s="17">
        <v>3780000</v>
      </c>
      <c r="B114" s="31" t="s">
        <v>334</v>
      </c>
      <c r="C114" s="22">
        <v>45013</v>
      </c>
      <c r="D114" s="32">
        <v>29</v>
      </c>
      <c r="E114" s="12">
        <f>3483249*25%</f>
        <v>870812.25</v>
      </c>
      <c r="F114" s="12">
        <v>275497</v>
      </c>
      <c r="G114" s="220">
        <f>ROUND(E114-F114,)</f>
        <v>595315</v>
      </c>
      <c r="H114" s="220">
        <f>ROUND(G114*$H$5,0)</f>
        <v>107157</v>
      </c>
      <c r="I114" s="12">
        <f>G114+H114</f>
        <v>702472</v>
      </c>
      <c r="J114" s="12">
        <f>ROUND(G114*$J$5,)</f>
        <v>5953</v>
      </c>
      <c r="K114" s="12">
        <f>ROUND(G114*$K$5,)</f>
        <v>29766</v>
      </c>
      <c r="L114" s="12">
        <f>ROUND(G114*$L$5,)</f>
        <v>0</v>
      </c>
      <c r="M114" s="12">
        <f>ROUND(G114*$M$5,)</f>
        <v>59532</v>
      </c>
      <c r="N114" s="223">
        <f>H114</f>
        <v>107157</v>
      </c>
      <c r="O114" s="12"/>
      <c r="P114" s="12">
        <v>500064.3</v>
      </c>
      <c r="Q114" s="168"/>
      <c r="R114" s="12">
        <v>3780000</v>
      </c>
      <c r="S114" s="12">
        <f>R114-SUM(T114:T126)</f>
        <v>-822065</v>
      </c>
      <c r="T114" s="16">
        <v>200000</v>
      </c>
      <c r="U114" s="113">
        <f>T114-1%*T114</f>
        <v>198000</v>
      </c>
      <c r="V114" s="15" t="s">
        <v>52</v>
      </c>
      <c r="W114" s="12">
        <v>-2502538.7000000002</v>
      </c>
    </row>
    <row r="115" spans="1:60" x14ac:dyDescent="0.25">
      <c r="A115" s="17"/>
      <c r="B115" s="31" t="s">
        <v>334</v>
      </c>
      <c r="C115" s="22">
        <v>45117</v>
      </c>
      <c r="D115" s="32" t="s">
        <v>335</v>
      </c>
      <c r="E115" s="12">
        <v>522487.35</v>
      </c>
      <c r="F115" s="12">
        <v>425439</v>
      </c>
      <c r="G115" s="220">
        <f>ROUND(E115-F115,)</f>
        <v>97048</v>
      </c>
      <c r="H115" s="220">
        <f>ROUND(G115*$H$5,0)</f>
        <v>17469</v>
      </c>
      <c r="I115" s="12">
        <f>G115+H115</f>
        <v>114517</v>
      </c>
      <c r="J115" s="12">
        <v>970.48</v>
      </c>
      <c r="K115" s="12">
        <v>4852.42</v>
      </c>
      <c r="L115" s="12">
        <f>ROUND(G115*$L$5,)</f>
        <v>0</v>
      </c>
      <c r="M115" s="12">
        <f>ROUND(G115*$M$5,)</f>
        <v>9705</v>
      </c>
      <c r="N115" s="223">
        <f>H115</f>
        <v>17469</v>
      </c>
      <c r="O115" s="12"/>
      <c r="P115" s="12">
        <f t="shared" ref="P115:P119" si="15">ROUND(I115-SUM(J115:O115),0)</f>
        <v>81520</v>
      </c>
      <c r="Q115" s="168"/>
      <c r="R115" s="12"/>
      <c r="S115" s="12"/>
      <c r="T115" s="16">
        <v>302065</v>
      </c>
      <c r="U115" s="113">
        <v>302065</v>
      </c>
      <c r="V115" s="15" t="s">
        <v>84</v>
      </c>
      <c r="W115" s="12"/>
    </row>
    <row r="116" spans="1:60" x14ac:dyDescent="0.25">
      <c r="A116" s="17" t="s">
        <v>112</v>
      </c>
      <c r="B116" s="31" t="s">
        <v>334</v>
      </c>
      <c r="C116" s="22">
        <v>45330</v>
      </c>
      <c r="D116" s="95">
        <v>45194</v>
      </c>
      <c r="E116" s="12">
        <v>118700.40000000002</v>
      </c>
      <c r="F116" s="12">
        <v>0</v>
      </c>
      <c r="G116" s="220">
        <v>118700</v>
      </c>
      <c r="H116" s="220">
        <v>21366</v>
      </c>
      <c r="I116" s="12">
        <v>140066</v>
      </c>
      <c r="J116" s="12">
        <v>1187</v>
      </c>
      <c r="K116" s="12">
        <v>5935</v>
      </c>
      <c r="L116" s="12">
        <v>0</v>
      </c>
      <c r="M116" s="12">
        <v>11870</v>
      </c>
      <c r="N116" s="223">
        <v>21366</v>
      </c>
      <c r="O116" s="12"/>
      <c r="P116" s="12">
        <f t="shared" si="15"/>
        <v>99708</v>
      </c>
      <c r="Q116" s="168"/>
      <c r="R116" s="12"/>
      <c r="S116" s="12"/>
      <c r="T116" s="16">
        <v>200000</v>
      </c>
      <c r="U116" s="113">
        <f>T116-1%*T116</f>
        <v>198000</v>
      </c>
      <c r="V116" s="15" t="s">
        <v>96</v>
      </c>
      <c r="W116" s="12"/>
    </row>
    <row r="117" spans="1:60" x14ac:dyDescent="0.25">
      <c r="A117" s="17"/>
      <c r="B117" s="31" t="s">
        <v>334</v>
      </c>
      <c r="C117" s="22">
        <v>45341</v>
      </c>
      <c r="D117" s="95">
        <v>68215</v>
      </c>
      <c r="E117" s="12">
        <v>567000</v>
      </c>
      <c r="F117" s="12">
        <v>231229</v>
      </c>
      <c r="G117" s="220">
        <f>ROUND(E117-F117,)</f>
        <v>335771</v>
      </c>
      <c r="H117" s="220">
        <f>ROUND(G117*$H$5,0)</f>
        <v>60439</v>
      </c>
      <c r="I117" s="12">
        <f>G117+H117</f>
        <v>396210</v>
      </c>
      <c r="J117" s="12">
        <f>ROUND(G117*$J$5,)</f>
        <v>3358</v>
      </c>
      <c r="K117" s="12">
        <f>ROUND(G117*$K$5,)</f>
        <v>16789</v>
      </c>
      <c r="L117" s="12">
        <f>ROUND(G117*$L$5,)</f>
        <v>0</v>
      </c>
      <c r="M117" s="12">
        <f>ROUND(G117*$M$5,)</f>
        <v>33577</v>
      </c>
      <c r="N117" s="223">
        <f>H117</f>
        <v>60439</v>
      </c>
      <c r="O117" s="12"/>
      <c r="P117" s="12">
        <f t="shared" si="15"/>
        <v>282047</v>
      </c>
      <c r="Q117" s="168"/>
      <c r="R117" s="12"/>
      <c r="S117" s="12"/>
      <c r="T117" s="16">
        <v>200000</v>
      </c>
      <c r="U117" s="113">
        <f t="shared" ref="U117:U119" si="16">T117-1%*T117</f>
        <v>198000</v>
      </c>
      <c r="V117" s="15" t="s">
        <v>109</v>
      </c>
      <c r="W117" s="12"/>
    </row>
    <row r="118" spans="1:60" x14ac:dyDescent="0.25">
      <c r="A118" s="17"/>
      <c r="B118" s="31" t="s">
        <v>334</v>
      </c>
      <c r="C118" s="22">
        <v>45357</v>
      </c>
      <c r="D118" s="32" t="s">
        <v>448</v>
      </c>
      <c r="E118" s="12">
        <f>3780000*15%</f>
        <v>567000</v>
      </c>
      <c r="F118" s="12">
        <v>207727.13</v>
      </c>
      <c r="G118" s="220">
        <f>ROUND(E118-F118,)</f>
        <v>359273</v>
      </c>
      <c r="H118" s="220">
        <f>ROUND(G118*$H$5,0)</f>
        <v>64669</v>
      </c>
      <c r="I118" s="12">
        <f>G118+H118</f>
        <v>423942</v>
      </c>
      <c r="J118" s="12">
        <f>ROUND(G118*$J$5,)</f>
        <v>3593</v>
      </c>
      <c r="K118" s="12">
        <f>ROUND(G118*$K$5,)</f>
        <v>17964</v>
      </c>
      <c r="L118" s="12">
        <f>ROUND(G118*$L$5,)</f>
        <v>0</v>
      </c>
      <c r="M118" s="12">
        <f>ROUND(G118*$M$5,)</f>
        <v>35927</v>
      </c>
      <c r="N118" s="223">
        <f>H118</f>
        <v>64669</v>
      </c>
      <c r="O118" s="12"/>
      <c r="P118" s="12">
        <f t="shared" si="15"/>
        <v>301789</v>
      </c>
      <c r="Q118" s="168"/>
      <c r="R118" s="12"/>
      <c r="S118" s="12"/>
      <c r="T118" s="16">
        <v>500000</v>
      </c>
      <c r="U118" s="113">
        <f t="shared" si="16"/>
        <v>495000</v>
      </c>
      <c r="V118" s="15" t="s">
        <v>186</v>
      </c>
      <c r="W118" s="12"/>
    </row>
    <row r="119" spans="1:60" x14ac:dyDescent="0.25">
      <c r="A119" s="17"/>
      <c r="B119" s="31" t="s">
        <v>334</v>
      </c>
      <c r="C119" s="22">
        <v>45362</v>
      </c>
      <c r="D119" s="32" t="s">
        <v>441</v>
      </c>
      <c r="E119" s="12">
        <v>378000</v>
      </c>
      <c r="F119" s="12">
        <v>182229</v>
      </c>
      <c r="G119" s="220">
        <f>ROUND(E119-F119,)</f>
        <v>195771</v>
      </c>
      <c r="H119" s="220">
        <f>ROUND(G119*$H$5,0)</f>
        <v>35239</v>
      </c>
      <c r="I119" s="12">
        <f>G119+H119</f>
        <v>231010</v>
      </c>
      <c r="J119" s="12">
        <f>ROUND(G119*$J$5,)</f>
        <v>1958</v>
      </c>
      <c r="K119" s="12">
        <f>ROUND(G119*$K$5,)</f>
        <v>9789</v>
      </c>
      <c r="L119" s="12">
        <f>ROUND(G119*$L$5,)</f>
        <v>0</v>
      </c>
      <c r="M119" s="12">
        <f>ROUND(G119*$M$5,)</f>
        <v>19577</v>
      </c>
      <c r="N119" s="223">
        <f>H119</f>
        <v>35239</v>
      </c>
      <c r="O119" s="12"/>
      <c r="P119" s="12">
        <f t="shared" si="15"/>
        <v>164447</v>
      </c>
      <c r="Q119" s="168"/>
      <c r="R119" s="12"/>
      <c r="S119" s="12"/>
      <c r="T119" s="16">
        <v>150000</v>
      </c>
      <c r="U119" s="113">
        <f t="shared" si="16"/>
        <v>148500</v>
      </c>
      <c r="V119" s="15" t="s">
        <v>252</v>
      </c>
      <c r="W119" s="12"/>
    </row>
    <row r="120" spans="1:60" x14ac:dyDescent="0.25">
      <c r="A120" s="17"/>
      <c r="B120" s="31" t="s">
        <v>334</v>
      </c>
      <c r="C120" s="22">
        <v>45534</v>
      </c>
      <c r="D120" s="32">
        <v>63</v>
      </c>
      <c r="E120" s="12">
        <v>378000</v>
      </c>
      <c r="F120" s="12">
        <v>231055.58</v>
      </c>
      <c r="G120" s="220">
        <f>ROUND(E120-F120,)</f>
        <v>146944</v>
      </c>
      <c r="H120" s="220">
        <f>ROUND(G120*$H$5,0)</f>
        <v>26450</v>
      </c>
      <c r="I120" s="12">
        <f>G120+H120</f>
        <v>173394</v>
      </c>
      <c r="J120" s="12">
        <f>ROUND(G120*$J$5,)</f>
        <v>1469</v>
      </c>
      <c r="K120" s="12">
        <f>ROUND(G120*$K$5,)</f>
        <v>7347</v>
      </c>
      <c r="L120" s="12">
        <f>ROUND(G120*$L$5,)</f>
        <v>0</v>
      </c>
      <c r="M120" s="12"/>
      <c r="N120" s="161">
        <f>H120</f>
        <v>26450</v>
      </c>
      <c r="O120" s="12">
        <f>G120*7%</f>
        <v>10286.080000000002</v>
      </c>
      <c r="P120" s="12">
        <f t="shared" ref="P120" si="17">ROUND(I120-SUM(J120:O120),0)</f>
        <v>127842</v>
      </c>
      <c r="Q120" s="168"/>
      <c r="R120" s="12"/>
      <c r="S120" s="12"/>
      <c r="T120" s="16">
        <v>500000</v>
      </c>
      <c r="U120" s="113">
        <v>495000</v>
      </c>
      <c r="V120" s="15" t="s">
        <v>504</v>
      </c>
      <c r="W120" s="12"/>
    </row>
    <row r="121" spans="1:60" ht="28.5" x14ac:dyDescent="0.25">
      <c r="A121" s="17"/>
      <c r="B121" s="31" t="s">
        <v>116</v>
      </c>
      <c r="C121" s="155"/>
      <c r="D121" s="155" t="s">
        <v>655</v>
      </c>
      <c r="E121" s="12">
        <f>SUM(N114:N120)</f>
        <v>332789</v>
      </c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61">
        <f>E121</f>
        <v>332789</v>
      </c>
      <c r="Q121" s="168"/>
      <c r="R121" s="12"/>
      <c r="S121" s="12"/>
      <c r="T121" s="40">
        <v>500000</v>
      </c>
      <c r="U121" s="113">
        <v>495000</v>
      </c>
      <c r="V121" s="15" t="s">
        <v>644</v>
      </c>
      <c r="W121" s="12"/>
    </row>
    <row r="122" spans="1:60" x14ac:dyDescent="0.25">
      <c r="A122" s="17"/>
      <c r="B122" s="31" t="s">
        <v>334</v>
      </c>
      <c r="C122" s="22">
        <v>45712</v>
      </c>
      <c r="D122" s="32">
        <v>156</v>
      </c>
      <c r="E122" s="12">
        <v>378000</v>
      </c>
      <c r="F122" s="12">
        <v>0</v>
      </c>
      <c r="G122" s="220">
        <f>ROUND(E122-F122,)</f>
        <v>378000</v>
      </c>
      <c r="H122" s="220">
        <f>ROUND(G122*$H$5,0)</f>
        <v>68040</v>
      </c>
      <c r="I122" s="12">
        <f>G122+H122</f>
        <v>446040</v>
      </c>
      <c r="J122" s="12">
        <f>ROUND(G122*$J$5,)</f>
        <v>3780</v>
      </c>
      <c r="K122" s="12">
        <f>ROUND(G122*$K$5,)</f>
        <v>18900</v>
      </c>
      <c r="L122" s="12">
        <f>ROUND(G122*$L$5,)</f>
        <v>0</v>
      </c>
      <c r="M122" s="12">
        <v>0</v>
      </c>
      <c r="N122" s="161">
        <f>H122</f>
        <v>68040</v>
      </c>
      <c r="O122" s="12">
        <v>189000</v>
      </c>
      <c r="P122" s="12">
        <f>ROUND(I122-SUM(J122:O122),0)</f>
        <v>166320</v>
      </c>
      <c r="Q122" s="168"/>
      <c r="R122" s="12"/>
      <c r="S122" s="12"/>
      <c r="T122" s="16">
        <v>250000</v>
      </c>
      <c r="U122" s="113">
        <v>247500</v>
      </c>
      <c r="V122" s="15" t="s">
        <v>666</v>
      </c>
      <c r="W122" s="12"/>
    </row>
    <row r="123" spans="1:60" x14ac:dyDescent="0.25">
      <c r="A123" s="17"/>
      <c r="B123" s="31"/>
      <c r="C123" s="32"/>
      <c r="D123" s="3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68"/>
      <c r="R123" s="12"/>
      <c r="S123" s="12"/>
      <c r="T123" s="16">
        <v>300000</v>
      </c>
      <c r="U123" s="113">
        <f t="shared" ref="U123" si="18">T123-1%*T123</f>
        <v>297000</v>
      </c>
      <c r="V123" s="15" t="s">
        <v>673</v>
      </c>
      <c r="W123" s="12"/>
    </row>
    <row r="124" spans="1:60" x14ac:dyDescent="0.25">
      <c r="A124" s="17"/>
      <c r="B124" s="31"/>
      <c r="C124" s="32"/>
      <c r="D124" s="3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68"/>
      <c r="R124" s="12"/>
      <c r="S124" s="12"/>
      <c r="T124" s="16">
        <v>500000</v>
      </c>
      <c r="U124" s="113">
        <v>495000</v>
      </c>
      <c r="V124" s="15" t="s">
        <v>686</v>
      </c>
      <c r="W124" s="12"/>
    </row>
    <row r="125" spans="1:60" x14ac:dyDescent="0.25">
      <c r="A125" s="17"/>
      <c r="B125" s="31"/>
      <c r="C125" s="32"/>
      <c r="D125" s="3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68"/>
      <c r="R125" s="12"/>
      <c r="S125" s="12"/>
      <c r="T125" s="16">
        <v>500000</v>
      </c>
      <c r="U125" s="113">
        <v>495000</v>
      </c>
      <c r="V125" s="15" t="s">
        <v>687</v>
      </c>
      <c r="W125" s="12"/>
    </row>
    <row r="126" spans="1:60" s="29" customFormat="1" x14ac:dyDescent="0.25">
      <c r="A126" s="17"/>
      <c r="B126" s="31"/>
      <c r="C126" s="32"/>
      <c r="D126" s="3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68"/>
      <c r="R126" s="12"/>
      <c r="S126" s="12"/>
      <c r="T126" s="16">
        <v>500000</v>
      </c>
      <c r="U126" s="113">
        <v>495000</v>
      </c>
      <c r="V126" s="15" t="s">
        <v>691</v>
      </c>
      <c r="W126" s="12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</row>
    <row r="127" spans="1:60" x14ac:dyDescent="0.25">
      <c r="A127" s="295">
        <v>55767</v>
      </c>
      <c r="B127" s="296" t="s">
        <v>326</v>
      </c>
      <c r="C127" s="297"/>
      <c r="D127" s="298"/>
      <c r="E127" s="299"/>
      <c r="F127" s="299"/>
      <c r="G127" s="299"/>
      <c r="H127" s="299"/>
      <c r="I127" s="299"/>
      <c r="J127" s="299"/>
      <c r="K127" s="299"/>
      <c r="L127" s="299"/>
      <c r="M127" s="299"/>
      <c r="N127" s="299"/>
      <c r="O127" s="299"/>
      <c r="P127" s="299"/>
      <c r="Q127" s="300">
        <f>A127</f>
        <v>55767</v>
      </c>
      <c r="R127" s="259"/>
      <c r="S127" s="259"/>
      <c r="T127" s="259"/>
      <c r="U127" s="260"/>
      <c r="V127" s="261"/>
      <c r="W127" s="259"/>
    </row>
    <row r="128" spans="1:60" x14ac:dyDescent="0.25">
      <c r="A128" s="17">
        <v>2598750</v>
      </c>
      <c r="B128" s="31" t="s">
        <v>343</v>
      </c>
      <c r="C128" s="22">
        <v>44987</v>
      </c>
      <c r="D128" s="32">
        <v>18</v>
      </c>
      <c r="E128" s="12">
        <f>2361882*25%</f>
        <v>590470.5</v>
      </c>
      <c r="F128" s="12">
        <v>320582.3</v>
      </c>
      <c r="G128" s="220">
        <f>ROUND(E128-F128,)</f>
        <v>269888</v>
      </c>
      <c r="H128" s="220">
        <f>ROUND(G128*$H$5,0)</f>
        <v>48580</v>
      </c>
      <c r="I128" s="12">
        <f>G128+H128</f>
        <v>318468</v>
      </c>
      <c r="J128" s="12">
        <f>ROUND(G128*$J$5,)</f>
        <v>2699</v>
      </c>
      <c r="K128" s="12">
        <f>ROUND(G128*$K$5,)</f>
        <v>13494</v>
      </c>
      <c r="L128" s="12">
        <f>ROUND(G128*$L$5,)</f>
        <v>0</v>
      </c>
      <c r="M128" s="12">
        <f>ROUND(G128*$M$5,)</f>
        <v>26989</v>
      </c>
      <c r="N128" s="223">
        <f>H128</f>
        <v>48580</v>
      </c>
      <c r="O128" s="12"/>
      <c r="P128" s="12">
        <f t="shared" ref="P128:P130" si="19">ROUND(I128-SUM(J128:O128),0)</f>
        <v>226706</v>
      </c>
      <c r="Q128" s="168"/>
      <c r="R128" s="12">
        <v>2598750</v>
      </c>
      <c r="S128" s="12">
        <f>R128-SUM(T128:T135)</f>
        <v>-527956</v>
      </c>
      <c r="T128" s="16">
        <v>226706</v>
      </c>
      <c r="U128" s="113">
        <v>226706</v>
      </c>
      <c r="V128" s="15" t="s">
        <v>53</v>
      </c>
      <c r="W128" s="12">
        <f>SUM(P128:P135)-SUM(U128:U135)</f>
        <v>-1422480</v>
      </c>
    </row>
    <row r="129" spans="1:23" x14ac:dyDescent="0.25">
      <c r="A129" s="17"/>
      <c r="B129" s="31" t="s">
        <v>343</v>
      </c>
      <c r="C129" s="22">
        <v>45329</v>
      </c>
      <c r="D129" s="95">
        <v>35189</v>
      </c>
      <c r="E129" s="12">
        <v>354282.3</v>
      </c>
      <c r="F129" s="12">
        <v>154256.14000000001</v>
      </c>
      <c r="G129" s="220">
        <v>200026</v>
      </c>
      <c r="H129" s="220">
        <v>36005</v>
      </c>
      <c r="I129" s="12">
        <v>236031</v>
      </c>
      <c r="J129" s="12">
        <v>2000</v>
      </c>
      <c r="K129" s="12">
        <v>10001</v>
      </c>
      <c r="L129" s="12">
        <v>0</v>
      </c>
      <c r="M129" s="12">
        <v>20003</v>
      </c>
      <c r="N129" s="223">
        <v>36005</v>
      </c>
      <c r="O129" s="12"/>
      <c r="P129" s="12">
        <f t="shared" si="19"/>
        <v>168022</v>
      </c>
      <c r="Q129" s="168"/>
      <c r="R129" s="12"/>
      <c r="S129" s="12"/>
      <c r="T129" s="16">
        <v>100000</v>
      </c>
      <c r="U129" s="113">
        <f t="shared" ref="U129:U133" si="20">T129-1%*T129</f>
        <v>99000</v>
      </c>
      <c r="V129" s="15" t="s">
        <v>86</v>
      </c>
      <c r="W129" s="12"/>
    </row>
    <row r="130" spans="1:23" x14ac:dyDescent="0.25">
      <c r="A130" s="17" t="s">
        <v>112</v>
      </c>
      <c r="B130" s="31" t="s">
        <v>343</v>
      </c>
      <c r="C130" s="22">
        <v>45330</v>
      </c>
      <c r="D130" s="95">
        <v>46195</v>
      </c>
      <c r="E130" s="12">
        <v>94747.199999999953</v>
      </c>
      <c r="F130" s="12">
        <v>0</v>
      </c>
      <c r="G130" s="220">
        <v>94747</v>
      </c>
      <c r="H130" s="220">
        <v>17054</v>
      </c>
      <c r="I130" s="12">
        <v>111801</v>
      </c>
      <c r="J130" s="12">
        <v>947</v>
      </c>
      <c r="K130" s="12">
        <v>4737</v>
      </c>
      <c r="L130" s="12">
        <v>0</v>
      </c>
      <c r="M130" s="12">
        <v>9475</v>
      </c>
      <c r="N130" s="223">
        <v>17054</v>
      </c>
      <c r="O130" s="12"/>
      <c r="P130" s="12">
        <f t="shared" si="19"/>
        <v>79588</v>
      </c>
      <c r="Q130" s="172" t="s">
        <v>418</v>
      </c>
      <c r="R130" s="12"/>
      <c r="S130" s="12"/>
      <c r="T130" s="16">
        <v>100000</v>
      </c>
      <c r="U130" s="113">
        <f t="shared" si="20"/>
        <v>99000</v>
      </c>
      <c r="V130" s="15" t="s">
        <v>107</v>
      </c>
      <c r="W130" s="12"/>
    </row>
    <row r="131" spans="1:23" x14ac:dyDescent="0.25">
      <c r="A131" s="17"/>
      <c r="B131" s="31" t="s">
        <v>114</v>
      </c>
      <c r="C131" s="36"/>
      <c r="D131" s="32" t="s">
        <v>595</v>
      </c>
      <c r="E131" s="12">
        <f>SUM(N128:N130)</f>
        <v>101639</v>
      </c>
      <c r="F131" s="12"/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/>
      <c r="P131" s="161">
        <f>E131</f>
        <v>101639</v>
      </c>
      <c r="Q131" s="168"/>
      <c r="R131" s="12"/>
      <c r="S131" s="12"/>
      <c r="T131" s="16">
        <v>200000</v>
      </c>
      <c r="U131" s="113">
        <f t="shared" si="20"/>
        <v>198000</v>
      </c>
      <c r="V131" s="15" t="s">
        <v>144</v>
      </c>
      <c r="W131" s="12"/>
    </row>
    <row r="132" spans="1:23" x14ac:dyDescent="0.25">
      <c r="A132" s="17"/>
      <c r="B132" s="31" t="s">
        <v>343</v>
      </c>
      <c r="C132" s="22">
        <v>45712</v>
      </c>
      <c r="D132" s="95">
        <v>159</v>
      </c>
      <c r="E132" s="12">
        <v>1169437</v>
      </c>
      <c r="F132" s="12">
        <v>0</v>
      </c>
      <c r="G132" s="220">
        <f>ROUND(E132-F132,)</f>
        <v>1169437</v>
      </c>
      <c r="H132" s="220">
        <f>ROUND(G132*$H$5,0)</f>
        <v>210499</v>
      </c>
      <c r="I132" s="12">
        <f>G132+H132</f>
        <v>1379936</v>
      </c>
      <c r="J132" s="12">
        <f>ROUND(G132*$J$5,)</f>
        <v>11694</v>
      </c>
      <c r="K132" s="12">
        <f>ROUND(G132*$K$5,)</f>
        <v>58472</v>
      </c>
      <c r="L132" s="12">
        <f>ROUND(G132*$L$5,)</f>
        <v>0</v>
      </c>
      <c r="M132" s="12">
        <v>0</v>
      </c>
      <c r="N132" s="161">
        <f>H132</f>
        <v>210499</v>
      </c>
      <c r="O132" s="12"/>
      <c r="P132" s="12">
        <f t="shared" ref="P132" si="21">ROUND(I132-SUM(J132:O132),0)</f>
        <v>1099271</v>
      </c>
      <c r="Q132" s="168"/>
      <c r="R132" s="12"/>
      <c r="S132" s="12"/>
      <c r="T132" s="16">
        <v>200000</v>
      </c>
      <c r="U132" s="113">
        <f t="shared" si="20"/>
        <v>198000</v>
      </c>
      <c r="V132" s="15" t="s">
        <v>145</v>
      </c>
      <c r="W132" s="12"/>
    </row>
    <row r="133" spans="1:23" x14ac:dyDescent="0.25">
      <c r="A133" s="17"/>
      <c r="B133" s="31"/>
      <c r="C133" s="36"/>
      <c r="D133" s="3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68"/>
      <c r="R133" s="12"/>
      <c r="S133" s="12"/>
      <c r="T133" s="16">
        <v>300000</v>
      </c>
      <c r="U133" s="113">
        <f t="shared" si="20"/>
        <v>297000</v>
      </c>
      <c r="V133" s="15" t="s">
        <v>163</v>
      </c>
      <c r="W133" s="12"/>
    </row>
    <row r="134" spans="1:23" x14ac:dyDescent="0.25">
      <c r="A134" s="17"/>
      <c r="B134" s="31"/>
      <c r="C134" s="36"/>
      <c r="D134" s="3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68"/>
      <c r="R134" s="12"/>
      <c r="S134" s="12"/>
      <c r="T134" s="16">
        <v>2000000</v>
      </c>
      <c r="U134" s="113">
        <v>1980000</v>
      </c>
      <c r="V134" s="15" t="s">
        <v>537</v>
      </c>
      <c r="W134" s="12"/>
    </row>
    <row r="135" spans="1:23" x14ac:dyDescent="0.25">
      <c r="A135" s="17"/>
      <c r="B135" s="31"/>
      <c r="C135" s="36"/>
      <c r="D135" s="3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68"/>
      <c r="R135" s="12"/>
      <c r="S135" s="12"/>
      <c r="T135" s="12"/>
      <c r="U135" s="61"/>
      <c r="V135" s="35"/>
      <c r="W135" s="12"/>
    </row>
    <row r="136" spans="1:23" x14ac:dyDescent="0.25">
      <c r="A136" s="295">
        <v>55846</v>
      </c>
      <c r="B136" s="296"/>
      <c r="C136" s="297"/>
      <c r="D136" s="298"/>
      <c r="E136" s="299"/>
      <c r="F136" s="299"/>
      <c r="G136" s="299"/>
      <c r="H136" s="299"/>
      <c r="I136" s="299"/>
      <c r="J136" s="299"/>
      <c r="K136" s="299"/>
      <c r="L136" s="299"/>
      <c r="M136" s="299"/>
      <c r="N136" s="299"/>
      <c r="O136" s="299"/>
      <c r="P136" s="299"/>
      <c r="Q136" s="300">
        <f>A136</f>
        <v>55846</v>
      </c>
      <c r="R136" s="299"/>
      <c r="S136" s="299"/>
      <c r="T136" s="299"/>
      <c r="U136" s="260"/>
      <c r="V136" s="261"/>
      <c r="W136" s="299"/>
    </row>
    <row r="137" spans="1:23" x14ac:dyDescent="0.25">
      <c r="A137" s="17">
        <v>2250000</v>
      </c>
      <c r="B137" s="31" t="s">
        <v>344</v>
      </c>
      <c r="C137" s="229">
        <v>44987</v>
      </c>
      <c r="D137" s="32" t="s">
        <v>115</v>
      </c>
      <c r="E137" s="41">
        <f>2084196*15%</f>
        <v>312629.39999999997</v>
      </c>
      <c r="F137" s="12">
        <v>206691</v>
      </c>
      <c r="G137" s="220">
        <f>ROUND(E137-F137,)</f>
        <v>105938</v>
      </c>
      <c r="H137" s="220">
        <f>ROUND(G137*$H$5,0)</f>
        <v>19069</v>
      </c>
      <c r="I137" s="12">
        <f t="shared" ref="I137:I142" si="22">G137+H137</f>
        <v>125007</v>
      </c>
      <c r="J137" s="12">
        <f>ROUND(G137*$J$5,)</f>
        <v>1059</v>
      </c>
      <c r="K137" s="12">
        <f>ROUND(G137*$K$5,)</f>
        <v>5297</v>
      </c>
      <c r="L137" s="12">
        <f>ROUND(G137*$L$5,)</f>
        <v>0</v>
      </c>
      <c r="M137" s="12">
        <f>ROUND(G137*$M$5,)</f>
        <v>10594</v>
      </c>
      <c r="N137" s="96">
        <f>H137</f>
        <v>19069</v>
      </c>
      <c r="O137" s="12"/>
      <c r="P137" s="12">
        <f t="shared" ref="P137:P141" si="23">ROUND(I137-SUM(J137:O137),0)</f>
        <v>88988</v>
      </c>
      <c r="Q137" s="168"/>
      <c r="R137" s="12">
        <v>2250000</v>
      </c>
      <c r="S137" s="12">
        <f>R138-SUM(T137:T145)</f>
        <v>33306</v>
      </c>
      <c r="T137" s="16">
        <v>88988</v>
      </c>
      <c r="U137" s="113">
        <v>88988</v>
      </c>
      <c r="V137" s="15" t="s">
        <v>88</v>
      </c>
      <c r="W137" s="12">
        <f>SUM(P137:P145)-SUM(U137:U145)</f>
        <v>-636956.81920000003</v>
      </c>
    </row>
    <row r="138" spans="1:23" x14ac:dyDescent="0.25">
      <c r="A138" s="17">
        <f>A137*70%</f>
        <v>1575000</v>
      </c>
      <c r="B138" s="31" t="s">
        <v>344</v>
      </c>
      <c r="C138" s="229">
        <v>45050</v>
      </c>
      <c r="D138" s="32">
        <v>12</v>
      </c>
      <c r="E138" s="41">
        <f>2084196*15%</f>
        <v>312629.39999999997</v>
      </c>
      <c r="F138" s="12">
        <v>249885</v>
      </c>
      <c r="G138" s="220">
        <f>ROUND(E138-F138,)</f>
        <v>62744</v>
      </c>
      <c r="H138" s="220">
        <f>ROUND(G138*$H$5,0)</f>
        <v>11294</v>
      </c>
      <c r="I138" s="12">
        <f t="shared" si="22"/>
        <v>74038</v>
      </c>
      <c r="J138" s="12">
        <f>ROUND(G138*$J$5,)</f>
        <v>627</v>
      </c>
      <c r="K138" s="12">
        <f>ROUND(G138*$K$5,)</f>
        <v>3137</v>
      </c>
      <c r="L138" s="12">
        <f>ROUND(G138*$L$5,)</f>
        <v>0</v>
      </c>
      <c r="M138" s="12">
        <f>ROUND(G138*$M$5,)</f>
        <v>6274</v>
      </c>
      <c r="N138" s="223">
        <f>H138</f>
        <v>11294</v>
      </c>
      <c r="O138" s="12"/>
      <c r="P138" s="12">
        <f t="shared" si="23"/>
        <v>52706</v>
      </c>
      <c r="Q138" s="168"/>
      <c r="R138" s="18">
        <f>R137*70%</f>
        <v>1575000</v>
      </c>
      <c r="S138" s="18"/>
      <c r="T138" s="52">
        <v>52706</v>
      </c>
      <c r="U138" s="113">
        <v>52706</v>
      </c>
      <c r="V138" s="28" t="s">
        <v>90</v>
      </c>
      <c r="W138" s="18"/>
    </row>
    <row r="139" spans="1:23" x14ac:dyDescent="0.25">
      <c r="A139" s="17"/>
      <c r="B139" s="31" t="s">
        <v>344</v>
      </c>
      <c r="C139" s="229">
        <v>45117</v>
      </c>
      <c r="D139" s="32" t="s">
        <v>779</v>
      </c>
      <c r="E139" s="41">
        <f>2084196*15%</f>
        <v>312629.39999999997</v>
      </c>
      <c r="F139" s="12">
        <v>134399</v>
      </c>
      <c r="G139" s="220">
        <f>ROUND(E139-F139,)</f>
        <v>178230</v>
      </c>
      <c r="H139" s="220">
        <f>ROUND(G139*$H$5,0)</f>
        <v>32081</v>
      </c>
      <c r="I139" s="12">
        <f t="shared" si="22"/>
        <v>210311</v>
      </c>
      <c r="J139" s="12">
        <f>ROUND(G139*$J$5,)</f>
        <v>1782</v>
      </c>
      <c r="K139" s="12">
        <f>ROUND(G139*$K$5,)</f>
        <v>8912</v>
      </c>
      <c r="L139" s="12">
        <f>ROUND(G139*$L$5,)</f>
        <v>0</v>
      </c>
      <c r="M139" s="12">
        <f>ROUND(G139*$M$5,)</f>
        <v>17823</v>
      </c>
      <c r="N139" s="96">
        <f>H139</f>
        <v>32081</v>
      </c>
      <c r="O139" s="12"/>
      <c r="P139" s="12">
        <f t="shared" si="23"/>
        <v>149713</v>
      </c>
      <c r="Q139" s="170"/>
      <c r="R139" s="18"/>
      <c r="S139" s="18"/>
      <c r="T139" s="52">
        <v>200000</v>
      </c>
      <c r="U139" s="113">
        <f t="shared" ref="U139:U141" si="24">T139-1%*T139</f>
        <v>198000</v>
      </c>
      <c r="V139" s="28" t="s">
        <v>98</v>
      </c>
      <c r="W139" s="18"/>
    </row>
    <row r="140" spans="1:23" x14ac:dyDescent="0.25">
      <c r="A140" s="17" t="s">
        <v>112</v>
      </c>
      <c r="B140" s="31" t="s">
        <v>344</v>
      </c>
      <c r="C140" s="230">
        <v>45134</v>
      </c>
      <c r="D140" s="32" t="s">
        <v>402</v>
      </c>
      <c r="E140" s="41">
        <v>208419.6</v>
      </c>
      <c r="F140" s="12">
        <v>75611</v>
      </c>
      <c r="G140" s="220">
        <f>ROUND(E140-F140,)</f>
        <v>132809</v>
      </c>
      <c r="H140" s="220">
        <f>ROUND(G140*$H$5,0)</f>
        <v>23906</v>
      </c>
      <c r="I140" s="12">
        <f t="shared" si="22"/>
        <v>156715</v>
      </c>
      <c r="J140" s="12">
        <f>ROUND(G140*$J$5,)</f>
        <v>1328</v>
      </c>
      <c r="K140" s="12">
        <f>ROUND(G140*$K$5,)</f>
        <v>6640</v>
      </c>
      <c r="L140" s="12">
        <f>ROUND(G140*$L$5,)</f>
        <v>0</v>
      </c>
      <c r="M140" s="12">
        <f>ROUND(G140*$M$5,)</f>
        <v>13281</v>
      </c>
      <c r="N140" s="223">
        <f>H140</f>
        <v>23906</v>
      </c>
      <c r="O140" s="12"/>
      <c r="P140" s="12">
        <f t="shared" si="23"/>
        <v>111560</v>
      </c>
      <c r="Q140" s="170"/>
      <c r="R140" s="18"/>
      <c r="S140" s="18"/>
      <c r="T140" s="52">
        <v>300000</v>
      </c>
      <c r="U140" s="113">
        <f t="shared" si="24"/>
        <v>297000</v>
      </c>
      <c r="V140" s="28" t="s">
        <v>149</v>
      </c>
      <c r="W140" s="18"/>
    </row>
    <row r="141" spans="1:23" ht="30" x14ac:dyDescent="0.25">
      <c r="A141" s="17"/>
      <c r="B141" s="31" t="s">
        <v>344</v>
      </c>
      <c r="C141" s="230">
        <v>45330</v>
      </c>
      <c r="D141" s="32" t="s">
        <v>401</v>
      </c>
      <c r="E141" s="41">
        <v>91192</v>
      </c>
      <c r="F141" s="12">
        <v>0</v>
      </c>
      <c r="G141" s="220">
        <f>ROUND(E141-F141,)</f>
        <v>91192</v>
      </c>
      <c r="H141" s="220">
        <f>ROUND(G141*$H$5,0)</f>
        <v>16415</v>
      </c>
      <c r="I141" s="12">
        <f t="shared" si="22"/>
        <v>107607</v>
      </c>
      <c r="J141" s="12">
        <f>ROUND(G141*$J$5,)</f>
        <v>912</v>
      </c>
      <c r="K141" s="12">
        <f>ROUND(G141*$K$5,)</f>
        <v>4560</v>
      </c>
      <c r="L141" s="12">
        <f>ROUND(G141*$L$5,)</f>
        <v>0</v>
      </c>
      <c r="M141" s="12">
        <f>ROUND(G141*$M$5,)</f>
        <v>9119</v>
      </c>
      <c r="N141" s="223">
        <f>H141</f>
        <v>16415</v>
      </c>
      <c r="O141" s="12"/>
      <c r="P141" s="12">
        <f t="shared" si="23"/>
        <v>76601</v>
      </c>
      <c r="Q141" s="173" t="s">
        <v>418</v>
      </c>
      <c r="R141" s="18"/>
      <c r="S141" s="18"/>
      <c r="T141" s="52">
        <v>300000</v>
      </c>
      <c r="U141" s="113">
        <f t="shared" si="24"/>
        <v>297000</v>
      </c>
      <c r="V141" s="222" t="s">
        <v>150</v>
      </c>
      <c r="W141" s="18"/>
    </row>
    <row r="142" spans="1:23" x14ac:dyDescent="0.25">
      <c r="A142" s="17"/>
      <c r="B142" s="31" t="s">
        <v>344</v>
      </c>
      <c r="C142" s="229">
        <v>45534</v>
      </c>
      <c r="D142" s="32">
        <v>74</v>
      </c>
      <c r="E142" s="41">
        <v>450000</v>
      </c>
      <c r="F142" s="12">
        <v>147643.44</v>
      </c>
      <c r="G142" s="220">
        <f>E142-F142</f>
        <v>302356.56</v>
      </c>
      <c r="H142" s="220">
        <f>G142*18%</f>
        <v>54424.180799999995</v>
      </c>
      <c r="I142" s="12">
        <f t="shared" si="22"/>
        <v>356780.74079999997</v>
      </c>
      <c r="J142" s="12">
        <f>G142*1%</f>
        <v>3023.5655999999999</v>
      </c>
      <c r="K142" s="12">
        <f>G142*5%</f>
        <v>15117.828000000001</v>
      </c>
      <c r="L142" s="12"/>
      <c r="M142" s="12">
        <f>G142*10%</f>
        <v>30235.656000000003</v>
      </c>
      <c r="N142" s="161">
        <f>G142*18%</f>
        <v>54424.180799999995</v>
      </c>
      <c r="O142" s="12">
        <v>0</v>
      </c>
      <c r="P142" s="12">
        <f t="shared" ref="P142" si="25">ROUND(I142-SUM(J142:O142),0)</f>
        <v>253980</v>
      </c>
      <c r="Q142" s="170"/>
      <c r="R142" s="18"/>
      <c r="S142" s="18"/>
      <c r="T142" s="52">
        <v>200000</v>
      </c>
      <c r="U142" s="113">
        <v>198000</v>
      </c>
      <c r="V142" s="28" t="s">
        <v>586</v>
      </c>
      <c r="W142" s="18"/>
    </row>
    <row r="143" spans="1:23" x14ac:dyDescent="0.25">
      <c r="A143" s="17"/>
      <c r="B143" s="31" t="s">
        <v>575</v>
      </c>
      <c r="C143" s="36"/>
      <c r="D143" s="32" t="s">
        <v>648</v>
      </c>
      <c r="E143" s="12">
        <f>SUM(N137:N141)</f>
        <v>102765</v>
      </c>
      <c r="F143" s="12"/>
      <c r="G143" s="12"/>
      <c r="H143" s="41"/>
      <c r="I143" s="12"/>
      <c r="J143" s="12"/>
      <c r="K143" s="12"/>
      <c r="L143" s="12"/>
      <c r="M143" s="12"/>
      <c r="N143" s="12"/>
      <c r="O143" s="12"/>
      <c r="P143" s="161">
        <f>E143</f>
        <v>102765</v>
      </c>
      <c r="Q143" s="170"/>
      <c r="R143" s="18"/>
      <c r="S143" s="18"/>
      <c r="T143" s="52">
        <v>400000</v>
      </c>
      <c r="U143" s="113">
        <v>396000</v>
      </c>
      <c r="V143" s="28" t="s">
        <v>699</v>
      </c>
      <c r="W143" s="18"/>
    </row>
    <row r="144" spans="1:23" x14ac:dyDescent="0.25">
      <c r="A144" s="17"/>
      <c r="B144" s="31" t="s">
        <v>575</v>
      </c>
      <c r="C144" s="36"/>
      <c r="D144" s="32">
        <v>74</v>
      </c>
      <c r="E144" s="12">
        <f>N142</f>
        <v>54424.180799999995</v>
      </c>
      <c r="F144" s="12"/>
      <c r="G144" s="12"/>
      <c r="H144" s="41"/>
      <c r="I144" s="12"/>
      <c r="J144" s="12"/>
      <c r="K144" s="12"/>
      <c r="L144" s="12"/>
      <c r="M144" s="12"/>
      <c r="N144" s="12"/>
      <c r="O144" s="12"/>
      <c r="P144" s="161">
        <f>E144</f>
        <v>54424.180799999995</v>
      </c>
      <c r="Q144" s="170"/>
      <c r="R144" s="18"/>
      <c r="S144" s="18"/>
      <c r="T144" s="18"/>
      <c r="U144" s="61"/>
      <c r="V144" s="27"/>
      <c r="W144" s="18"/>
    </row>
    <row r="145" spans="1:60" x14ac:dyDescent="0.25">
      <c r="A145" s="17"/>
      <c r="B145" s="31"/>
      <c r="C145" s="36"/>
      <c r="D145" s="3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70"/>
      <c r="R145" s="18"/>
      <c r="S145" s="18"/>
      <c r="T145" s="18"/>
      <c r="U145" s="61"/>
      <c r="V145" s="27"/>
      <c r="W145" s="18"/>
    </row>
    <row r="146" spans="1:60" x14ac:dyDescent="0.25">
      <c r="A146" s="295">
        <v>55852</v>
      </c>
      <c r="B146" s="296"/>
      <c r="C146" s="297"/>
      <c r="D146" s="298"/>
      <c r="E146" s="299"/>
      <c r="F146" s="299"/>
      <c r="G146" s="299"/>
      <c r="H146" s="299"/>
      <c r="I146" s="299"/>
      <c r="J146" s="299"/>
      <c r="K146" s="299"/>
      <c r="L146" s="299"/>
      <c r="M146" s="299"/>
      <c r="N146" s="299"/>
      <c r="O146" s="299"/>
      <c r="P146" s="299"/>
      <c r="Q146" s="300">
        <f>A146</f>
        <v>55852</v>
      </c>
      <c r="R146" s="259"/>
      <c r="S146" s="259"/>
      <c r="T146" s="259"/>
      <c r="U146" s="260"/>
      <c r="V146" s="261"/>
      <c r="W146" s="259"/>
    </row>
    <row r="147" spans="1:60" x14ac:dyDescent="0.25">
      <c r="A147" s="17">
        <v>2850000</v>
      </c>
      <c r="B147" s="31" t="s">
        <v>336</v>
      </c>
      <c r="C147" s="22">
        <v>44987</v>
      </c>
      <c r="D147" s="32">
        <v>17</v>
      </c>
      <c r="E147" s="12">
        <f>2579480*25%</f>
        <v>644870</v>
      </c>
      <c r="F147" s="12">
        <v>312982.89</v>
      </c>
      <c r="G147" s="220">
        <f>ROUND(E147-F147,)</f>
        <v>331887</v>
      </c>
      <c r="H147" s="220">
        <f>ROUND(G147*$H$5,0)</f>
        <v>59740</v>
      </c>
      <c r="I147" s="12">
        <f>G147+H147</f>
        <v>391627</v>
      </c>
      <c r="J147" s="12">
        <f>ROUND(G147*$J$5,)</f>
        <v>3319</v>
      </c>
      <c r="K147" s="12">
        <f>ROUND(G147*$K$5,)</f>
        <v>16594</v>
      </c>
      <c r="L147" s="12">
        <f>ROUND(G147*$L$5,)</f>
        <v>0</v>
      </c>
      <c r="M147" s="12">
        <f>ROUND(G147*$M$5,)</f>
        <v>33189</v>
      </c>
      <c r="N147" s="240">
        <f>H147</f>
        <v>59740</v>
      </c>
      <c r="O147" s="12"/>
      <c r="P147" s="12">
        <f t="shared" ref="P147:P148" si="26">ROUND(I147-SUM(J147:O147),0)</f>
        <v>278785</v>
      </c>
      <c r="Q147" s="174"/>
      <c r="R147" s="37">
        <v>2850000</v>
      </c>
      <c r="S147" s="12">
        <f>R148-SUM(T147:T154)</f>
        <v>22500</v>
      </c>
      <c r="T147" s="40">
        <v>200000</v>
      </c>
      <c r="U147" s="113">
        <f t="shared" ref="U147:U149" si="27">T147-1%*T147</f>
        <v>198000</v>
      </c>
      <c r="V147" s="15" t="s">
        <v>121</v>
      </c>
      <c r="W147" s="12">
        <v>-2223435.7599999998</v>
      </c>
    </row>
    <row r="148" spans="1:60" x14ac:dyDescent="0.25">
      <c r="A148" s="128" t="s">
        <v>112</v>
      </c>
      <c r="B148" s="31" t="s">
        <v>336</v>
      </c>
      <c r="C148" s="22">
        <v>45330</v>
      </c>
      <c r="D148" s="32" t="s">
        <v>403</v>
      </c>
      <c r="E148" s="12">
        <v>67630</v>
      </c>
      <c r="F148" s="12">
        <v>0</v>
      </c>
      <c r="G148" s="220">
        <v>67630</v>
      </c>
      <c r="H148" s="220">
        <v>12173</v>
      </c>
      <c r="I148" s="12">
        <v>79803</v>
      </c>
      <c r="J148" s="12">
        <v>676</v>
      </c>
      <c r="K148" s="12">
        <v>3382</v>
      </c>
      <c r="L148" s="12">
        <v>0</v>
      </c>
      <c r="M148" s="12">
        <v>6763</v>
      </c>
      <c r="N148" s="223">
        <v>12173</v>
      </c>
      <c r="O148" s="12"/>
      <c r="P148" s="12">
        <f t="shared" si="26"/>
        <v>56809</v>
      </c>
      <c r="Q148" s="173" t="s">
        <v>418</v>
      </c>
      <c r="R148" s="37">
        <f>R147*85%</f>
        <v>2422500</v>
      </c>
      <c r="S148" s="37"/>
      <c r="T148" s="40">
        <v>300000</v>
      </c>
      <c r="U148" s="113">
        <f t="shared" si="27"/>
        <v>297000</v>
      </c>
      <c r="V148" s="15" t="s">
        <v>198</v>
      </c>
      <c r="W148" s="37"/>
    </row>
    <row r="149" spans="1:60" x14ac:dyDescent="0.25">
      <c r="A149" s="17">
        <f>A147*85%</f>
        <v>2422500</v>
      </c>
      <c r="B149" s="31" t="s">
        <v>336</v>
      </c>
      <c r="C149" s="22">
        <v>45365</v>
      </c>
      <c r="D149" s="32" t="s">
        <v>445</v>
      </c>
      <c r="E149" s="12">
        <v>427500</v>
      </c>
      <c r="F149" s="12">
        <v>165673</v>
      </c>
      <c r="G149" s="220">
        <f>E149-F149</f>
        <v>261827</v>
      </c>
      <c r="H149" s="220">
        <f>ROUND(G149*18%,)</f>
        <v>47129</v>
      </c>
      <c r="I149" s="12">
        <f>G149+H149</f>
        <v>308956</v>
      </c>
      <c r="J149" s="12">
        <f>ROUND(G149*1%,)</f>
        <v>2618</v>
      </c>
      <c r="K149" s="12">
        <f>ROUND(G149*5%,)</f>
        <v>13091</v>
      </c>
      <c r="L149" s="37"/>
      <c r="M149" s="12">
        <f>G149*10%</f>
        <v>26182.7</v>
      </c>
      <c r="N149" s="223">
        <f>H149</f>
        <v>47129</v>
      </c>
      <c r="O149" s="12">
        <v>0</v>
      </c>
      <c r="P149" s="12">
        <f t="shared" ref="P149:P152" si="28">ROUND(I149-SUM(J149:O149),0)</f>
        <v>219935</v>
      </c>
      <c r="Q149" s="174"/>
      <c r="R149" s="37"/>
      <c r="S149" s="37"/>
      <c r="T149" s="40">
        <v>250000</v>
      </c>
      <c r="U149" s="113">
        <f t="shared" si="27"/>
        <v>247500</v>
      </c>
      <c r="V149" s="15" t="s">
        <v>204</v>
      </c>
      <c r="W149" s="37"/>
    </row>
    <row r="150" spans="1:60" ht="30" x14ac:dyDescent="0.25">
      <c r="A150" s="17"/>
      <c r="B150" s="31" t="s">
        <v>336</v>
      </c>
      <c r="C150" s="22">
        <v>45365</v>
      </c>
      <c r="D150" s="95">
        <v>96237</v>
      </c>
      <c r="E150" s="12">
        <f>2850000*15%</f>
        <v>427500</v>
      </c>
      <c r="F150" s="12">
        <v>176498.78</v>
      </c>
      <c r="G150" s="220">
        <f>ROUND(E150-F150,)</f>
        <v>251001</v>
      </c>
      <c r="H150" s="220">
        <f>ROUND(G150*$H$5,0)</f>
        <v>45180</v>
      </c>
      <c r="I150" s="12">
        <f>G150+H150</f>
        <v>296181</v>
      </c>
      <c r="J150" s="12">
        <f>ROUND(G150*$J$5,)</f>
        <v>2510</v>
      </c>
      <c r="K150" s="12">
        <f>ROUND(G150*$K$5,)</f>
        <v>12550</v>
      </c>
      <c r="L150" s="12">
        <f>ROUND(G150*$L$5,)</f>
        <v>0</v>
      </c>
      <c r="M150" s="12">
        <f>ROUND(G150*$M$5,)</f>
        <v>25100</v>
      </c>
      <c r="N150" s="223">
        <f>H150</f>
        <v>45180</v>
      </c>
      <c r="O150" s="37"/>
      <c r="P150" s="12">
        <f t="shared" si="28"/>
        <v>210841</v>
      </c>
      <c r="Q150" s="175" t="s">
        <v>442</v>
      </c>
      <c r="R150" s="37"/>
      <c r="S150" s="37"/>
      <c r="T150" s="40">
        <v>1000000</v>
      </c>
      <c r="U150" s="113">
        <v>990000</v>
      </c>
      <c r="V150" s="15" t="s">
        <v>491</v>
      </c>
      <c r="W150" s="37"/>
    </row>
    <row r="151" spans="1:60" ht="30" x14ac:dyDescent="0.25">
      <c r="A151" s="17"/>
      <c r="B151" s="31" t="s">
        <v>336</v>
      </c>
      <c r="C151" s="22">
        <v>45417</v>
      </c>
      <c r="D151" s="32" t="s">
        <v>505</v>
      </c>
      <c r="E151" s="12">
        <v>285000</v>
      </c>
      <c r="F151" s="12">
        <v>156384</v>
      </c>
      <c r="G151" s="220">
        <f>ROUND(E151-F151,)</f>
        <v>128616</v>
      </c>
      <c r="H151" s="220">
        <f>ROUND(G151*$H$5,0)</f>
        <v>23151</v>
      </c>
      <c r="I151" s="12">
        <f>G151+H151</f>
        <v>151767</v>
      </c>
      <c r="J151" s="12">
        <f>ROUND(G151*$J$5,)</f>
        <v>1286</v>
      </c>
      <c r="K151" s="12">
        <f>ROUND(G151*$K$5,)</f>
        <v>6431</v>
      </c>
      <c r="L151" s="12">
        <f>ROUND(G151*$L$5,)</f>
        <v>0</v>
      </c>
      <c r="M151" s="12">
        <f>ROUND(G151*$M$5,)</f>
        <v>12862</v>
      </c>
      <c r="N151" s="223">
        <f>H151</f>
        <v>23151</v>
      </c>
      <c r="O151" s="37"/>
      <c r="P151" s="12">
        <f t="shared" si="28"/>
        <v>108037</v>
      </c>
      <c r="Q151" s="175" t="s">
        <v>442</v>
      </c>
      <c r="R151" s="37"/>
      <c r="S151" s="37"/>
      <c r="T151" s="40">
        <v>300000</v>
      </c>
      <c r="U151" s="113">
        <v>297000</v>
      </c>
      <c r="V151" s="15" t="s">
        <v>585</v>
      </c>
      <c r="W151" s="37"/>
    </row>
    <row r="152" spans="1:60" x14ac:dyDescent="0.25">
      <c r="A152" s="17"/>
      <c r="B152" s="31" t="s">
        <v>336</v>
      </c>
      <c r="C152" s="22">
        <v>45534</v>
      </c>
      <c r="D152" s="32">
        <v>54</v>
      </c>
      <c r="E152" s="12">
        <v>285000</v>
      </c>
      <c r="F152" s="12">
        <v>279124</v>
      </c>
      <c r="G152" s="220">
        <f>E152-F152</f>
        <v>5876</v>
      </c>
      <c r="H152" s="220">
        <f>G152*18%</f>
        <v>1057.68</v>
      </c>
      <c r="I152" s="12">
        <f>G152+H152</f>
        <v>6933.68</v>
      </c>
      <c r="J152" s="12">
        <f>G152*1%</f>
        <v>58.76</v>
      </c>
      <c r="K152" s="12">
        <f>G152*5%</f>
        <v>293.8</v>
      </c>
      <c r="L152" s="12"/>
      <c r="M152" s="12"/>
      <c r="N152" s="161">
        <f>G152*18%</f>
        <v>1057.68</v>
      </c>
      <c r="O152" s="12">
        <f>G152*7%</f>
        <v>411.32000000000005</v>
      </c>
      <c r="P152" s="12">
        <f t="shared" si="28"/>
        <v>5112</v>
      </c>
      <c r="Q152" s="174"/>
      <c r="R152" s="37"/>
      <c r="S152" s="37"/>
      <c r="T152" s="40">
        <v>300000</v>
      </c>
      <c r="U152" s="113">
        <v>297000</v>
      </c>
      <c r="V152" s="15" t="s">
        <v>714</v>
      </c>
      <c r="W152" s="37"/>
    </row>
    <row r="153" spans="1:60" ht="28.5" x14ac:dyDescent="0.25">
      <c r="A153" s="17"/>
      <c r="B153" s="31" t="s">
        <v>114</v>
      </c>
      <c r="C153" s="22"/>
      <c r="D153" s="31" t="s">
        <v>657</v>
      </c>
      <c r="E153" s="12">
        <f>SUM(N147:N152)</f>
        <v>188430.68</v>
      </c>
      <c r="F153" s="12"/>
      <c r="G153" s="12"/>
      <c r="H153" s="41"/>
      <c r="I153" s="12"/>
      <c r="J153" s="12"/>
      <c r="K153" s="12"/>
      <c r="L153" s="12"/>
      <c r="M153" s="12"/>
      <c r="N153" s="96"/>
      <c r="O153" s="12"/>
      <c r="P153" s="161">
        <f>E153</f>
        <v>188430.68</v>
      </c>
      <c r="Q153" s="174"/>
      <c r="R153" s="37"/>
      <c r="S153" s="37"/>
      <c r="T153" s="40">
        <v>50000</v>
      </c>
      <c r="U153" s="113">
        <v>49500</v>
      </c>
      <c r="V153" s="15" t="s">
        <v>725</v>
      </c>
      <c r="W153" s="37"/>
    </row>
    <row r="154" spans="1:60" s="29" customFormat="1" x14ac:dyDescent="0.25">
      <c r="A154" s="17"/>
      <c r="B154" s="31"/>
      <c r="C154" s="22"/>
      <c r="D154" s="32"/>
      <c r="E154" s="12"/>
      <c r="F154" s="12"/>
      <c r="G154" s="12"/>
      <c r="H154" s="41"/>
      <c r="I154" s="12"/>
      <c r="J154" s="12"/>
      <c r="K154" s="12"/>
      <c r="L154" s="12"/>
      <c r="M154" s="12"/>
      <c r="N154" s="96"/>
      <c r="O154" s="12"/>
      <c r="P154" s="12"/>
      <c r="Q154" s="174"/>
      <c r="R154" s="37"/>
      <c r="S154" s="37"/>
      <c r="T154" s="37"/>
      <c r="U154" s="61"/>
      <c r="V154" s="14"/>
      <c r="W154" s="37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</row>
    <row r="155" spans="1:60" s="13" customFormat="1" x14ac:dyDescent="0.25">
      <c r="A155" s="295">
        <v>57227</v>
      </c>
      <c r="B155" s="296"/>
      <c r="C155" s="297"/>
      <c r="D155" s="298"/>
      <c r="E155" s="299"/>
      <c r="F155" s="299"/>
      <c r="G155" s="299"/>
      <c r="H155" s="299"/>
      <c r="I155" s="299"/>
      <c r="J155" s="299"/>
      <c r="K155" s="299"/>
      <c r="L155" s="299"/>
      <c r="M155" s="299"/>
      <c r="N155" s="299"/>
      <c r="O155" s="299"/>
      <c r="P155" s="299"/>
      <c r="Q155" s="300">
        <f>A155</f>
        <v>57227</v>
      </c>
      <c r="R155" s="259"/>
      <c r="S155" s="259"/>
      <c r="T155" s="259"/>
      <c r="U155" s="260"/>
      <c r="V155" s="261"/>
      <c r="W155" s="259"/>
    </row>
    <row r="156" spans="1:60" s="13" customFormat="1" x14ac:dyDescent="0.25">
      <c r="A156" s="17">
        <v>2020000</v>
      </c>
      <c r="B156" s="31" t="s">
        <v>313</v>
      </c>
      <c r="C156" s="22">
        <v>45374</v>
      </c>
      <c r="D156" s="32" t="s">
        <v>587</v>
      </c>
      <c r="E156" s="12">
        <f>2020000*25%</f>
        <v>505000</v>
      </c>
      <c r="F156" s="12">
        <v>277106</v>
      </c>
      <c r="G156" s="220">
        <f>E156-F156</f>
        <v>227894</v>
      </c>
      <c r="H156" s="220">
        <f>ROUND(G156*18%,)</f>
        <v>41021</v>
      </c>
      <c r="I156" s="12">
        <f>G156+H156</f>
        <v>268915</v>
      </c>
      <c r="J156" s="12">
        <f>ROUND(G156*$J$5,)</f>
        <v>2279</v>
      </c>
      <c r="K156" s="12">
        <f>ROUND(G156*$K$5,)</f>
        <v>11395</v>
      </c>
      <c r="L156" s="12">
        <f>ROUND(G156*$L$7,)</f>
        <v>0</v>
      </c>
      <c r="M156" s="12">
        <f>ROUND(G156*$M$5,)</f>
        <v>22789</v>
      </c>
      <c r="N156" s="223">
        <f>H156</f>
        <v>41021</v>
      </c>
      <c r="O156" s="12"/>
      <c r="P156" s="12">
        <f t="shared" ref="P156:P160" si="29">ROUND(I156-SUM(J156:O156),0)</f>
        <v>191431</v>
      </c>
      <c r="Q156" s="174"/>
      <c r="R156" s="37">
        <v>2020000</v>
      </c>
      <c r="S156" s="12">
        <f>R156-SUM(T156:T162)</f>
        <v>-380000</v>
      </c>
      <c r="T156" s="40">
        <v>300000</v>
      </c>
      <c r="U156" s="113">
        <f t="shared" si="14"/>
        <v>297000</v>
      </c>
      <c r="V156" s="15" t="s">
        <v>189</v>
      </c>
      <c r="W156" s="12">
        <f>SUM(P156:P163)-SUM(U156:U162)</f>
        <v>-1372947.6396000001</v>
      </c>
    </row>
    <row r="157" spans="1:60" s="13" customFormat="1" x14ac:dyDescent="0.25">
      <c r="A157" s="17"/>
      <c r="B157" s="31" t="s">
        <v>313</v>
      </c>
      <c r="C157" s="22">
        <v>45392</v>
      </c>
      <c r="D157" s="32" t="s">
        <v>506</v>
      </c>
      <c r="E157" s="12">
        <v>303000</v>
      </c>
      <c r="F157" s="12">
        <v>164615</v>
      </c>
      <c r="G157" s="220">
        <f>E157-F157</f>
        <v>138385</v>
      </c>
      <c r="H157" s="220">
        <f>G157*18%</f>
        <v>24909.3</v>
      </c>
      <c r="I157" s="12">
        <f>G157+H157</f>
        <v>163294.29999999999</v>
      </c>
      <c r="J157" s="12">
        <v>1383.85</v>
      </c>
      <c r="K157" s="12">
        <v>6919.25</v>
      </c>
      <c r="L157" s="12">
        <f>ROUND(G157*$L$7,)</f>
        <v>0</v>
      </c>
      <c r="M157" s="12">
        <v>13838.5</v>
      </c>
      <c r="N157" s="223">
        <f>G157*18%</f>
        <v>24909.3</v>
      </c>
      <c r="O157" s="12">
        <v>24909</v>
      </c>
      <c r="P157" s="12">
        <v>116243.1</v>
      </c>
      <c r="Q157" s="174"/>
      <c r="R157" s="37"/>
      <c r="S157" s="37"/>
      <c r="T157" s="40">
        <v>300000</v>
      </c>
      <c r="U157" s="113">
        <v>297000</v>
      </c>
      <c r="V157" s="15" t="s">
        <v>387</v>
      </c>
      <c r="W157" s="37"/>
    </row>
    <row r="158" spans="1:60" s="13" customFormat="1" x14ac:dyDescent="0.25">
      <c r="A158" s="17"/>
      <c r="B158" s="31" t="s">
        <v>313</v>
      </c>
      <c r="C158" s="22">
        <v>45458</v>
      </c>
      <c r="D158" s="32" t="s">
        <v>507</v>
      </c>
      <c r="E158" s="12">
        <v>303000</v>
      </c>
      <c r="F158" s="12">
        <v>100288</v>
      </c>
      <c r="G158" s="220">
        <f>E158-F158</f>
        <v>202712</v>
      </c>
      <c r="H158" s="220">
        <f>G158*18%</f>
        <v>36488.159999999996</v>
      </c>
      <c r="I158" s="12">
        <f>G158+H158</f>
        <v>239200.16</v>
      </c>
      <c r="J158" s="12">
        <f>G158*1%</f>
        <v>2027.1200000000001</v>
      </c>
      <c r="K158" s="12">
        <f>G158*5%</f>
        <v>10135.6</v>
      </c>
      <c r="L158" s="12">
        <f>ROUND(G158*$L$7,)</f>
        <v>0</v>
      </c>
      <c r="M158" s="12">
        <f>G158*10%</f>
        <v>20271.2</v>
      </c>
      <c r="N158" s="223">
        <f>G158*18%</f>
        <v>36488.159999999996</v>
      </c>
      <c r="O158" s="12">
        <v>0</v>
      </c>
      <c r="P158" s="12">
        <f t="shared" si="29"/>
        <v>170278</v>
      </c>
      <c r="Q158" s="174"/>
      <c r="R158" s="37"/>
      <c r="S158" s="37"/>
      <c r="T158" s="16">
        <v>500000</v>
      </c>
      <c r="U158" s="113">
        <f t="shared" ref="U158" si="30">T158-1%*T158</f>
        <v>495000</v>
      </c>
      <c r="V158" s="15" t="s">
        <v>548</v>
      </c>
      <c r="W158" s="37"/>
    </row>
    <row r="159" spans="1:60" s="13" customFormat="1" x14ac:dyDescent="0.25">
      <c r="A159" s="17"/>
      <c r="B159" s="31" t="s">
        <v>313</v>
      </c>
      <c r="C159" s="22">
        <v>45466</v>
      </c>
      <c r="D159" s="32" t="s">
        <v>508</v>
      </c>
      <c r="E159" s="12">
        <v>303000</v>
      </c>
      <c r="F159" s="12">
        <v>115528</v>
      </c>
      <c r="G159" s="220">
        <f>E159-F159</f>
        <v>187472</v>
      </c>
      <c r="H159" s="220">
        <f>G159*18%</f>
        <v>33744.959999999999</v>
      </c>
      <c r="I159" s="12">
        <f>G159+H159</f>
        <v>221216.96</v>
      </c>
      <c r="J159" s="12">
        <f>G159*1%</f>
        <v>1874.72</v>
      </c>
      <c r="K159" s="12">
        <f>G159*5%</f>
        <v>9373.6</v>
      </c>
      <c r="L159" s="12">
        <f>ROUND(G159*$L$7,)</f>
        <v>0</v>
      </c>
      <c r="M159" s="12">
        <f>G159*10%</f>
        <v>18747.2</v>
      </c>
      <c r="N159" s="223">
        <f>G159*18%</f>
        <v>33744.959999999999</v>
      </c>
      <c r="O159" s="12">
        <v>0</v>
      </c>
      <c r="P159" s="12">
        <f t="shared" si="29"/>
        <v>157476</v>
      </c>
      <c r="Q159" s="174"/>
      <c r="R159" s="37"/>
      <c r="S159" s="37"/>
      <c r="T159" s="40">
        <v>400000</v>
      </c>
      <c r="U159" s="113">
        <v>396000</v>
      </c>
      <c r="V159" s="15" t="s">
        <v>584</v>
      </c>
      <c r="W159" s="37"/>
    </row>
    <row r="160" spans="1:60" s="13" customFormat="1" x14ac:dyDescent="0.25">
      <c r="A160" s="17"/>
      <c r="B160" s="31" t="s">
        <v>313</v>
      </c>
      <c r="C160" s="22">
        <v>45466</v>
      </c>
      <c r="D160" s="32" t="s">
        <v>509</v>
      </c>
      <c r="E160" s="12">
        <v>202000</v>
      </c>
      <c r="F160" s="12">
        <v>96165</v>
      </c>
      <c r="G160" s="220">
        <f>E160-F160</f>
        <v>105835</v>
      </c>
      <c r="H160" s="220">
        <f>G160*18%</f>
        <v>19050.3</v>
      </c>
      <c r="I160" s="12">
        <f>G160+H160</f>
        <v>124885.3</v>
      </c>
      <c r="J160" s="12">
        <f>G160*1%</f>
        <v>1058.3499999999999</v>
      </c>
      <c r="K160" s="12">
        <f>G160*5%</f>
        <v>5291.75</v>
      </c>
      <c r="L160" s="12">
        <f>ROUND(G160*$L$7,)</f>
        <v>0</v>
      </c>
      <c r="M160" s="12">
        <v>0</v>
      </c>
      <c r="N160" s="223">
        <f>G160*18%</f>
        <v>19050.3</v>
      </c>
      <c r="O160" s="12">
        <v>101000</v>
      </c>
      <c r="P160" s="12">
        <f t="shared" si="29"/>
        <v>-1515</v>
      </c>
      <c r="Q160" s="174"/>
      <c r="R160" s="64"/>
      <c r="S160" s="64"/>
      <c r="T160" s="40">
        <v>400000</v>
      </c>
      <c r="U160" s="113">
        <v>396000</v>
      </c>
      <c r="V160" s="15" t="s">
        <v>643</v>
      </c>
      <c r="W160" s="64"/>
    </row>
    <row r="161" spans="1:23" s="13" customFormat="1" x14ac:dyDescent="0.25">
      <c r="A161" s="17"/>
      <c r="B161" s="31" t="s">
        <v>575</v>
      </c>
      <c r="C161" s="22"/>
      <c r="D161" s="32" t="s">
        <v>596</v>
      </c>
      <c r="E161" s="12">
        <f>SUM(N156:N160)</f>
        <v>155213.71999999997</v>
      </c>
      <c r="F161" s="12"/>
      <c r="G161" s="12"/>
      <c r="H161" s="41"/>
      <c r="I161" s="12"/>
      <c r="J161" s="12"/>
      <c r="K161" s="12"/>
      <c r="L161" s="12"/>
      <c r="M161" s="12"/>
      <c r="N161" s="12"/>
      <c r="O161" s="12"/>
      <c r="P161" s="161">
        <f>E161</f>
        <v>155213.71999999997</v>
      </c>
      <c r="Q161" s="174"/>
      <c r="R161" s="64"/>
      <c r="S161" s="64"/>
      <c r="T161" s="16">
        <v>500000</v>
      </c>
      <c r="U161" s="113">
        <f t="shared" ref="U161" si="31">T161-1%*T161</f>
        <v>495000</v>
      </c>
      <c r="V161" s="15" t="s">
        <v>645</v>
      </c>
      <c r="W161" s="64"/>
    </row>
    <row r="162" spans="1:23" s="13" customFormat="1" x14ac:dyDescent="0.25">
      <c r="A162" s="17"/>
      <c r="B162" s="31" t="s">
        <v>313</v>
      </c>
      <c r="C162" s="22">
        <v>45534</v>
      </c>
      <c r="D162" s="32">
        <v>70</v>
      </c>
      <c r="E162" s="12">
        <v>404000</v>
      </c>
      <c r="F162" s="12">
        <v>194269.22</v>
      </c>
      <c r="G162" s="220">
        <f>E162-F162</f>
        <v>209730.78</v>
      </c>
      <c r="H162" s="220">
        <f>G162*18%</f>
        <v>37751.540399999998</v>
      </c>
      <c r="I162" s="12">
        <f>G162+H162</f>
        <v>247482.3204</v>
      </c>
      <c r="J162" s="12">
        <f>G162*1%</f>
        <v>2097.3078</v>
      </c>
      <c r="K162" s="12">
        <f>G162*5%</f>
        <v>10486.539000000001</v>
      </c>
      <c r="L162" s="12">
        <f>ROUND(G162*$L$7,)</f>
        <v>0</v>
      </c>
      <c r="M162" s="12">
        <f>G162*10%</f>
        <v>20973.078000000001</v>
      </c>
      <c r="N162" s="161">
        <f>G162*18%</f>
        <v>37751.540399999998</v>
      </c>
      <c r="O162" s="12"/>
      <c r="P162" s="12">
        <f t="shared" ref="P162" si="32">ROUND(I162-SUM(J162:O162),0)</f>
        <v>176174</v>
      </c>
      <c r="Q162" s="176"/>
      <c r="R162" s="64"/>
      <c r="S162" s="64"/>
      <c r="T162" s="64"/>
      <c r="U162" s="61"/>
      <c r="V162" s="35"/>
      <c r="W162" s="64"/>
    </row>
    <row r="163" spans="1:23" x14ac:dyDescent="0.25">
      <c r="A163" s="17"/>
      <c r="B163" s="31" t="s">
        <v>575</v>
      </c>
      <c r="C163" s="22"/>
      <c r="D163" s="32">
        <v>70</v>
      </c>
      <c r="E163" s="12">
        <f>N162</f>
        <v>37751.540399999998</v>
      </c>
      <c r="F163" s="12"/>
      <c r="G163" s="12"/>
      <c r="H163" s="41"/>
      <c r="I163" s="12"/>
      <c r="J163" s="12"/>
      <c r="K163" s="12"/>
      <c r="L163" s="12"/>
      <c r="M163" s="12"/>
      <c r="N163" s="12"/>
      <c r="O163" s="12"/>
      <c r="P163" s="161">
        <f>E163</f>
        <v>37751.540399999998</v>
      </c>
      <c r="Q163" s="176"/>
      <c r="R163" s="64"/>
      <c r="S163" s="64"/>
      <c r="T163" s="64"/>
      <c r="U163" s="61"/>
      <c r="V163" s="35"/>
      <c r="W163" s="64"/>
    </row>
    <row r="164" spans="1:23" x14ac:dyDescent="0.25">
      <c r="A164" s="295">
        <v>58032</v>
      </c>
      <c r="B164" s="296"/>
      <c r="C164" s="297"/>
      <c r="D164" s="298"/>
      <c r="E164" s="299"/>
      <c r="F164" s="299"/>
      <c r="G164" s="299"/>
      <c r="H164" s="299"/>
      <c r="I164" s="299"/>
      <c r="J164" s="299"/>
      <c r="K164" s="299"/>
      <c r="L164" s="299"/>
      <c r="M164" s="299"/>
      <c r="N164" s="299"/>
      <c r="O164" s="299"/>
      <c r="P164" s="299"/>
      <c r="Q164" s="300">
        <f>A164</f>
        <v>58032</v>
      </c>
      <c r="R164" s="299"/>
      <c r="S164" s="299"/>
      <c r="T164" s="299"/>
      <c r="U164" s="260"/>
      <c r="V164" s="299"/>
      <c r="W164" s="299"/>
    </row>
    <row r="165" spans="1:23" x14ac:dyDescent="0.15">
      <c r="A165" s="17">
        <v>2850000</v>
      </c>
      <c r="B165" s="31" t="s">
        <v>337</v>
      </c>
      <c r="C165" s="22">
        <v>45100</v>
      </c>
      <c r="D165" s="32">
        <v>16</v>
      </c>
      <c r="E165" s="12">
        <v>128974</v>
      </c>
      <c r="F165" s="12">
        <v>76000</v>
      </c>
      <c r="G165" s="220">
        <f>E165-F165</f>
        <v>52974</v>
      </c>
      <c r="H165" s="220">
        <f>ROUND(G165*18%,)</f>
        <v>9535</v>
      </c>
      <c r="I165" s="12">
        <f>G165+H165</f>
        <v>62509</v>
      </c>
      <c r="J165" s="12">
        <f>ROUND(G165*$J$5,)</f>
        <v>530</v>
      </c>
      <c r="K165" s="183">
        <f>ROUND(G165*$K$5,)</f>
        <v>2649</v>
      </c>
      <c r="L165" s="185"/>
      <c r="M165" s="184">
        <f>G165*10%</f>
        <v>5297.4000000000005</v>
      </c>
      <c r="N165" s="227">
        <f>H165</f>
        <v>9535</v>
      </c>
      <c r="O165" s="12"/>
      <c r="P165" s="12">
        <f t="shared" ref="P165:P167" si="33">ROUND(I165-SUM(J165:O165),0)</f>
        <v>44498</v>
      </c>
      <c r="Q165" s="168"/>
      <c r="R165" s="12">
        <v>2850000</v>
      </c>
      <c r="S165" s="12">
        <f>R165-SUM(T165:T172)</f>
        <v>50000</v>
      </c>
      <c r="T165" s="16">
        <v>200000</v>
      </c>
      <c r="U165" s="113">
        <f t="shared" ref="U165:U169" si="34">T165-1%*T165</f>
        <v>198000</v>
      </c>
      <c r="V165" s="221" t="s">
        <v>778</v>
      </c>
      <c r="W165" s="12">
        <f>SUM(P165:P172)-SUM(U165:U172)</f>
        <v>-866392.99600000004</v>
      </c>
    </row>
    <row r="166" spans="1:23" x14ac:dyDescent="0.25">
      <c r="A166" s="17" t="s">
        <v>112</v>
      </c>
      <c r="B166" s="31" t="s">
        <v>337</v>
      </c>
      <c r="C166" s="22">
        <v>45139</v>
      </c>
      <c r="D166" s="32" t="s">
        <v>769</v>
      </c>
      <c r="E166" s="12">
        <v>13526</v>
      </c>
      <c r="F166" s="12">
        <v>0</v>
      </c>
      <c r="G166" s="220">
        <v>13526</v>
      </c>
      <c r="H166" s="220">
        <v>2435</v>
      </c>
      <c r="I166" s="12">
        <v>15961</v>
      </c>
      <c r="J166" s="12">
        <v>135</v>
      </c>
      <c r="K166" s="183">
        <v>676</v>
      </c>
      <c r="L166" s="185"/>
      <c r="M166" s="184">
        <v>1352.6000000000001</v>
      </c>
      <c r="N166" s="227">
        <f t="shared" ref="N166:N167" si="35">H166</f>
        <v>2435</v>
      </c>
      <c r="O166" s="12"/>
      <c r="P166" s="12">
        <f t="shared" si="33"/>
        <v>11362</v>
      </c>
      <c r="Q166" s="170"/>
      <c r="R166" s="12"/>
      <c r="S166" s="12"/>
      <c r="T166" s="16">
        <v>200000</v>
      </c>
      <c r="U166" s="113">
        <f t="shared" si="34"/>
        <v>198000</v>
      </c>
      <c r="V166" s="15" t="s">
        <v>106</v>
      </c>
      <c r="W166" s="12"/>
    </row>
    <row r="167" spans="1:23" x14ac:dyDescent="0.25">
      <c r="A167" s="17"/>
      <c r="B167" s="31" t="s">
        <v>337</v>
      </c>
      <c r="C167" s="22">
        <v>45339</v>
      </c>
      <c r="D167" s="95">
        <v>64212</v>
      </c>
      <c r="E167" s="12">
        <v>570000</v>
      </c>
      <c r="F167" s="12">
        <v>102069</v>
      </c>
      <c r="G167" s="220">
        <f>E167-F167</f>
        <v>467931</v>
      </c>
      <c r="H167" s="220">
        <f>ROUND(G167*18%,)</f>
        <v>84228</v>
      </c>
      <c r="I167" s="12">
        <f>G167+H167</f>
        <v>552159</v>
      </c>
      <c r="J167" s="12">
        <f>ROUND(G167*$J$5,)</f>
        <v>4679</v>
      </c>
      <c r="K167" s="183">
        <f>ROUND(G167*$K$5,)</f>
        <v>23397</v>
      </c>
      <c r="L167" s="185"/>
      <c r="M167" s="184">
        <f>G167*10%</f>
        <v>46793.100000000006</v>
      </c>
      <c r="N167" s="18">
        <f t="shared" si="35"/>
        <v>84228</v>
      </c>
      <c r="O167" s="12"/>
      <c r="P167" s="12">
        <f t="shared" si="33"/>
        <v>393062</v>
      </c>
      <c r="Q167" s="177" t="s">
        <v>418</v>
      </c>
      <c r="R167" s="12"/>
      <c r="S167" s="12"/>
      <c r="T167" s="16">
        <v>200000</v>
      </c>
      <c r="U167" s="113">
        <f t="shared" si="34"/>
        <v>198000</v>
      </c>
      <c r="V167" s="15" t="s">
        <v>153</v>
      </c>
      <c r="W167" s="12"/>
    </row>
    <row r="168" spans="1:23" x14ac:dyDescent="0.25">
      <c r="A168" s="17"/>
      <c r="B168" s="31" t="s">
        <v>337</v>
      </c>
      <c r="C168" s="22">
        <v>45215</v>
      </c>
      <c r="D168" s="32">
        <v>112</v>
      </c>
      <c r="E168" s="12">
        <v>427500</v>
      </c>
      <c r="F168" s="12">
        <v>182304.44</v>
      </c>
      <c r="G168" s="12">
        <f>E168-F168</f>
        <v>245195.56</v>
      </c>
      <c r="H168" s="12">
        <f>ROUND(G168*18%,)</f>
        <v>44135</v>
      </c>
      <c r="I168" s="12">
        <f>G168+H168</f>
        <v>289330.56</v>
      </c>
      <c r="J168" s="12">
        <f>ROUND(G168*$J$5,)</f>
        <v>2452</v>
      </c>
      <c r="K168" s="183">
        <f>ROUND(G168*$K$5,)</f>
        <v>12260</v>
      </c>
      <c r="L168" s="185"/>
      <c r="M168" s="184">
        <f>G168*10%</f>
        <v>24519.556</v>
      </c>
      <c r="N168" s="18">
        <f t="shared" ref="N168" si="36">H168</f>
        <v>44135</v>
      </c>
      <c r="O168" s="12"/>
      <c r="P168" s="12">
        <f>I168-SUM(J168:N168)</f>
        <v>205964.00400000002</v>
      </c>
      <c r="Q168" s="170"/>
      <c r="R168" s="12"/>
      <c r="S168" s="12"/>
      <c r="T168" s="16">
        <v>200000</v>
      </c>
      <c r="U168" s="113">
        <f t="shared" si="34"/>
        <v>198000</v>
      </c>
      <c r="V168" s="15" t="s">
        <v>154</v>
      </c>
      <c r="W168" s="12"/>
    </row>
    <row r="169" spans="1:23" x14ac:dyDescent="0.25">
      <c r="A169" s="17"/>
      <c r="B169" s="31" t="s">
        <v>337</v>
      </c>
      <c r="C169" s="22">
        <v>45534</v>
      </c>
      <c r="D169" s="32">
        <v>56</v>
      </c>
      <c r="E169" s="12">
        <v>1282500</v>
      </c>
      <c r="F169" s="12">
        <v>224987.54</v>
      </c>
      <c r="G169" s="220">
        <f>E169-F169</f>
        <v>1057512.46</v>
      </c>
      <c r="H169" s="220">
        <f>ROUND(G169*18%,)</f>
        <v>190352</v>
      </c>
      <c r="I169" s="12">
        <f>G169+H169</f>
        <v>1247864.46</v>
      </c>
      <c r="J169" s="12">
        <f>ROUND(G169*$J$5,)</f>
        <v>10575</v>
      </c>
      <c r="K169" s="12">
        <f>ROUND(G169*$K$5,)</f>
        <v>52876</v>
      </c>
      <c r="L169" s="12"/>
      <c r="M169" s="12"/>
      <c r="N169" s="12">
        <f>H169</f>
        <v>190352</v>
      </c>
      <c r="O169" s="12">
        <f>G169*7%</f>
        <v>74025.872199999998</v>
      </c>
      <c r="P169" s="12">
        <f t="shared" ref="P169" si="37">ROUND(I169-SUM(J169:O169),0)</f>
        <v>920036</v>
      </c>
      <c r="Q169" s="170"/>
      <c r="R169" s="12"/>
      <c r="S169" s="12"/>
      <c r="T169" s="16">
        <v>300000</v>
      </c>
      <c r="U169" s="113">
        <f t="shared" si="34"/>
        <v>297000</v>
      </c>
      <c r="V169" s="15" t="s">
        <v>349</v>
      </c>
      <c r="W169" s="12"/>
    </row>
    <row r="170" spans="1:23" x14ac:dyDescent="0.25">
      <c r="A170" s="17"/>
      <c r="B170" s="31" t="s">
        <v>575</v>
      </c>
      <c r="C170" s="22"/>
      <c r="D170" s="32" t="s">
        <v>592</v>
      </c>
      <c r="E170" s="12">
        <f>SUM(N165:N169)</f>
        <v>330685</v>
      </c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>
        <f>E170</f>
        <v>330685</v>
      </c>
      <c r="Q170" s="170"/>
      <c r="R170" s="12"/>
      <c r="S170" s="12"/>
      <c r="T170" s="16">
        <v>1000000</v>
      </c>
      <c r="U170" s="113">
        <v>990000</v>
      </c>
      <c r="V170" s="15" t="s">
        <v>490</v>
      </c>
      <c r="W170" s="12"/>
    </row>
    <row r="171" spans="1:23" x14ac:dyDescent="0.25">
      <c r="A171" s="17"/>
      <c r="B171" s="31"/>
      <c r="C171" s="22"/>
      <c r="D171" s="3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70"/>
      <c r="R171" s="12"/>
      <c r="S171" s="12"/>
      <c r="T171" s="16">
        <v>400000</v>
      </c>
      <c r="U171" s="113">
        <v>396000</v>
      </c>
      <c r="V171" s="15" t="s">
        <v>641</v>
      </c>
      <c r="W171" s="12"/>
    </row>
    <row r="172" spans="1:23" x14ac:dyDescent="0.25">
      <c r="A172" s="17"/>
      <c r="B172" s="31"/>
      <c r="C172" s="22"/>
      <c r="D172" s="3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70"/>
      <c r="R172" s="12"/>
      <c r="S172" s="12"/>
      <c r="T172" s="16">
        <v>300000</v>
      </c>
      <c r="U172" s="113">
        <f t="shared" ref="U172" si="38">T172-1%*T172</f>
        <v>297000</v>
      </c>
      <c r="V172" s="15" t="s">
        <v>694</v>
      </c>
      <c r="W172" s="12"/>
    </row>
    <row r="173" spans="1:23" x14ac:dyDescent="0.25">
      <c r="A173" s="295">
        <v>58033</v>
      </c>
      <c r="B173" s="296"/>
      <c r="C173" s="297"/>
      <c r="D173" s="298"/>
      <c r="E173" s="299"/>
      <c r="F173" s="299"/>
      <c r="G173" s="299"/>
      <c r="H173" s="299"/>
      <c r="I173" s="299"/>
      <c r="J173" s="299"/>
      <c r="K173" s="299"/>
      <c r="L173" s="299"/>
      <c r="M173" s="299"/>
      <c r="N173" s="299"/>
      <c r="O173" s="299"/>
      <c r="P173" s="299"/>
      <c r="Q173" s="300">
        <f>A173</f>
        <v>58033</v>
      </c>
      <c r="R173" s="259"/>
      <c r="S173" s="259"/>
      <c r="T173" s="259"/>
      <c r="U173" s="260"/>
      <c r="V173" s="261"/>
      <c r="W173" s="259"/>
    </row>
    <row r="174" spans="1:23" x14ac:dyDescent="0.25">
      <c r="A174" s="17">
        <v>3150000</v>
      </c>
      <c r="B174" s="31" t="s">
        <v>330</v>
      </c>
      <c r="C174" s="22">
        <v>45100</v>
      </c>
      <c r="D174" s="44">
        <v>17</v>
      </c>
      <c r="E174" s="12">
        <v>143784.85</v>
      </c>
      <c r="F174" s="12">
        <f>11400+57662</f>
        <v>69062</v>
      </c>
      <c r="G174" s="220">
        <f>E174-F174</f>
        <v>74722.850000000006</v>
      </c>
      <c r="H174" s="220">
        <f>ROUND(G174*18%,)</f>
        <v>13450</v>
      </c>
      <c r="I174" s="12">
        <f>G174+H174</f>
        <v>88172.85</v>
      </c>
      <c r="J174" s="12">
        <f>ROUND(G174*$J$5,)</f>
        <v>747</v>
      </c>
      <c r="K174" s="12">
        <f>ROUND(G174*$K$5,)</f>
        <v>3736</v>
      </c>
      <c r="L174" s="37"/>
      <c r="M174" s="12">
        <f>G174*10%</f>
        <v>7472.2850000000008</v>
      </c>
      <c r="N174" s="227">
        <f>H174</f>
        <v>13450</v>
      </c>
      <c r="O174" s="12"/>
      <c r="P174" s="12">
        <f t="shared" ref="P174:P177" si="39">ROUND(I174-SUM(J174:O174),0)</f>
        <v>62768</v>
      </c>
      <c r="Q174" s="174"/>
      <c r="R174" s="12">
        <v>3150000</v>
      </c>
      <c r="S174" s="12">
        <f>R174-SUM(T174:T184)</f>
        <v>0</v>
      </c>
      <c r="T174" s="16">
        <v>200000</v>
      </c>
      <c r="U174" s="113">
        <f t="shared" ref="U174:U181" si="40">T174-1%*T174</f>
        <v>198000</v>
      </c>
      <c r="V174" s="15" t="s">
        <v>119</v>
      </c>
      <c r="W174" s="12">
        <f>SUM(P174:P184)-SUM(U174:U184)</f>
        <v>-1212189</v>
      </c>
    </row>
    <row r="175" spans="1:23" x14ac:dyDescent="0.25">
      <c r="A175" s="17"/>
      <c r="B175" s="31" t="s">
        <v>330</v>
      </c>
      <c r="C175" s="22">
        <v>45117</v>
      </c>
      <c r="D175" s="157" t="s">
        <v>430</v>
      </c>
      <c r="E175" s="12">
        <v>575139.4</v>
      </c>
      <c r="F175" s="12">
        <v>304973</v>
      </c>
      <c r="G175" s="220">
        <v>270166.40000000002</v>
      </c>
      <c r="H175" s="220">
        <v>48630</v>
      </c>
      <c r="I175" s="12">
        <v>318796.40000000002</v>
      </c>
      <c r="J175" s="12">
        <v>2702</v>
      </c>
      <c r="K175" s="12">
        <v>13508</v>
      </c>
      <c r="L175" s="37"/>
      <c r="M175" s="12">
        <v>27016.640000000003</v>
      </c>
      <c r="N175" s="12">
        <v>48630</v>
      </c>
      <c r="O175" s="12"/>
      <c r="P175" s="12">
        <f t="shared" si="39"/>
        <v>226940</v>
      </c>
      <c r="Q175" s="174"/>
      <c r="R175" s="12"/>
      <c r="S175" s="12"/>
      <c r="T175" s="16">
        <v>300000</v>
      </c>
      <c r="U175" s="113">
        <f t="shared" si="40"/>
        <v>297000</v>
      </c>
      <c r="V175" s="15" t="s">
        <v>123</v>
      </c>
      <c r="W175" s="12"/>
    </row>
    <row r="176" spans="1:23" x14ac:dyDescent="0.25">
      <c r="A176" s="17" t="s">
        <v>112</v>
      </c>
      <c r="B176" s="31" t="s">
        <v>330</v>
      </c>
      <c r="C176" s="22">
        <v>45332</v>
      </c>
      <c r="D176" s="156">
        <v>48197</v>
      </c>
      <c r="E176" s="12">
        <v>68575.75</v>
      </c>
      <c r="F176" s="12">
        <v>0</v>
      </c>
      <c r="G176" s="220">
        <v>68575.75</v>
      </c>
      <c r="H176" s="220">
        <v>12344</v>
      </c>
      <c r="I176" s="12">
        <v>80919.75</v>
      </c>
      <c r="J176" s="12">
        <v>686</v>
      </c>
      <c r="K176" s="12">
        <v>3429</v>
      </c>
      <c r="L176" s="37"/>
      <c r="M176" s="12">
        <v>6857.5750000000007</v>
      </c>
      <c r="N176" s="227">
        <v>12344</v>
      </c>
      <c r="O176" s="12"/>
      <c r="P176" s="12">
        <f t="shared" si="39"/>
        <v>57603</v>
      </c>
      <c r="Q176" s="174"/>
      <c r="R176" s="12"/>
      <c r="S176" s="12"/>
      <c r="T176" s="16">
        <v>300000</v>
      </c>
      <c r="U176" s="113">
        <f t="shared" si="40"/>
        <v>297000</v>
      </c>
      <c r="V176" s="15" t="s">
        <v>160</v>
      </c>
      <c r="W176" s="12"/>
    </row>
    <row r="177" spans="1:23" x14ac:dyDescent="0.25">
      <c r="A177" s="17"/>
      <c r="B177" s="31" t="s">
        <v>330</v>
      </c>
      <c r="C177" s="22">
        <v>45358</v>
      </c>
      <c r="D177" s="44" t="s">
        <v>429</v>
      </c>
      <c r="E177" s="12">
        <f>3150000*15%</f>
        <v>472500</v>
      </c>
      <c r="F177" s="12">
        <v>154489.07</v>
      </c>
      <c r="G177" s="220">
        <f>E177-F177</f>
        <v>318010.93</v>
      </c>
      <c r="H177" s="220">
        <f>ROUND(G177*18%,)</f>
        <v>57242</v>
      </c>
      <c r="I177" s="12">
        <f>G177+H177</f>
        <v>375252.93</v>
      </c>
      <c r="J177" s="12">
        <f>ROUND(G177*$J$5,)</f>
        <v>3180</v>
      </c>
      <c r="K177" s="12">
        <f>ROUND(G177*$K$5,)</f>
        <v>15901</v>
      </c>
      <c r="L177" s="37"/>
      <c r="M177" s="12">
        <f>G177*10%</f>
        <v>31801.093000000001</v>
      </c>
      <c r="N177" s="227">
        <f>H177</f>
        <v>57242</v>
      </c>
      <c r="O177" s="12">
        <v>93495</v>
      </c>
      <c r="P177" s="12">
        <f t="shared" si="39"/>
        <v>173634</v>
      </c>
      <c r="Q177" s="174"/>
      <c r="R177" s="12"/>
      <c r="S177" s="12"/>
      <c r="T177" s="16">
        <v>300000</v>
      </c>
      <c r="U177" s="113">
        <f t="shared" si="40"/>
        <v>297000</v>
      </c>
      <c r="V177" s="15" t="s">
        <v>161</v>
      </c>
      <c r="W177" s="12"/>
    </row>
    <row r="178" spans="1:23" x14ac:dyDescent="0.25">
      <c r="A178" s="17"/>
      <c r="B178" s="31" t="s">
        <v>114</v>
      </c>
      <c r="C178" s="22"/>
      <c r="D178" s="44" t="s">
        <v>597</v>
      </c>
      <c r="E178" s="12">
        <f>SUM(N174:N177)</f>
        <v>131666</v>
      </c>
      <c r="F178" s="12"/>
      <c r="G178" s="12"/>
      <c r="H178" s="41"/>
      <c r="I178" s="12"/>
      <c r="J178" s="12"/>
      <c r="K178" s="12"/>
      <c r="L178" s="37"/>
      <c r="M178" s="12"/>
      <c r="N178" s="12"/>
      <c r="O178" s="12"/>
      <c r="P178" s="12">
        <f>E178</f>
        <v>131666</v>
      </c>
      <c r="Q178" s="174"/>
      <c r="R178" s="12"/>
      <c r="S178" s="12"/>
      <c r="T178" s="16">
        <v>200000</v>
      </c>
      <c r="U178" s="113">
        <f t="shared" si="40"/>
        <v>198000</v>
      </c>
      <c r="V178" s="15" t="s">
        <v>192</v>
      </c>
      <c r="W178" s="12"/>
    </row>
    <row r="179" spans="1:23" x14ac:dyDescent="0.25">
      <c r="A179" s="17"/>
      <c r="B179" s="31" t="s">
        <v>330</v>
      </c>
      <c r="C179" s="22">
        <v>45630</v>
      </c>
      <c r="D179" s="44">
        <v>94</v>
      </c>
      <c r="E179" s="12">
        <v>1260000</v>
      </c>
      <c r="F179" s="12">
        <v>0</v>
      </c>
      <c r="G179" s="220">
        <f>E179-F179</f>
        <v>1260000</v>
      </c>
      <c r="H179" s="220">
        <f>ROUND(G179*18%,)</f>
        <v>226800</v>
      </c>
      <c r="I179" s="12">
        <f>G179+H179</f>
        <v>1486800</v>
      </c>
      <c r="J179" s="12">
        <f>ROUND(G179*$J$5,)</f>
        <v>12600</v>
      </c>
      <c r="K179" s="12">
        <f>ROUND(G179*$K$5,)</f>
        <v>63000</v>
      </c>
      <c r="L179" s="37"/>
      <c r="M179" s="12">
        <v>0</v>
      </c>
      <c r="N179" s="12">
        <f>H179</f>
        <v>226800</v>
      </c>
      <c r="O179" s="12">
        <v>157500</v>
      </c>
      <c r="P179" s="12">
        <f t="shared" ref="P179" si="41">ROUND(I179-SUM(J179:O179),0)</f>
        <v>1026900</v>
      </c>
      <c r="Q179" s="174"/>
      <c r="R179" s="12"/>
      <c r="S179" s="12"/>
      <c r="T179" s="16">
        <v>300000</v>
      </c>
      <c r="U179" s="113">
        <f t="shared" si="40"/>
        <v>297000</v>
      </c>
      <c r="V179" s="15" t="s">
        <v>193</v>
      </c>
      <c r="W179" s="12"/>
    </row>
    <row r="180" spans="1:23" x14ac:dyDescent="0.25">
      <c r="A180" s="17"/>
      <c r="B180" s="31" t="s">
        <v>575</v>
      </c>
      <c r="C180" s="22"/>
      <c r="D180" s="32">
        <v>94</v>
      </c>
      <c r="E180" s="12">
        <f>N179</f>
        <v>226800</v>
      </c>
      <c r="F180" s="12"/>
      <c r="G180" s="12"/>
      <c r="H180" s="41"/>
      <c r="I180" s="12"/>
      <c r="J180" s="12"/>
      <c r="K180" s="12"/>
      <c r="L180" s="12"/>
      <c r="M180" s="12"/>
      <c r="N180" s="12"/>
      <c r="O180" s="12"/>
      <c r="P180" s="12">
        <f>E180</f>
        <v>226800</v>
      </c>
      <c r="Q180" s="174"/>
      <c r="R180" s="12"/>
      <c r="S180" s="12"/>
      <c r="T180" s="16">
        <v>250000</v>
      </c>
      <c r="U180" s="113">
        <f t="shared" si="40"/>
        <v>247500</v>
      </c>
      <c r="V180" s="15" t="s">
        <v>194</v>
      </c>
      <c r="W180" s="12"/>
    </row>
    <row r="181" spans="1:23" x14ac:dyDescent="0.25">
      <c r="A181" s="17"/>
      <c r="B181" s="31"/>
      <c r="C181" s="22"/>
      <c r="D181" s="32"/>
      <c r="E181" s="12"/>
      <c r="F181" s="12"/>
      <c r="G181" s="12"/>
      <c r="H181" s="12"/>
      <c r="I181" s="12"/>
      <c r="J181" s="12"/>
      <c r="K181" s="12"/>
      <c r="L181" s="37"/>
      <c r="M181" s="12"/>
      <c r="N181" s="12"/>
      <c r="O181" s="12"/>
      <c r="P181" s="12"/>
      <c r="Q181" s="174"/>
      <c r="R181" s="12"/>
      <c r="S181" s="12"/>
      <c r="T181" s="16">
        <v>500000</v>
      </c>
      <c r="U181" s="113">
        <f t="shared" si="40"/>
        <v>495000</v>
      </c>
      <c r="V181" s="15" t="s">
        <v>547</v>
      </c>
      <c r="W181" s="12"/>
    </row>
    <row r="182" spans="1:23" x14ac:dyDescent="0.25">
      <c r="A182" s="17"/>
      <c r="B182" s="31"/>
      <c r="C182" s="22"/>
      <c r="D182" s="32"/>
      <c r="E182" s="12"/>
      <c r="F182" s="12"/>
      <c r="G182" s="12"/>
      <c r="H182" s="12"/>
      <c r="I182" s="12"/>
      <c r="J182" s="12"/>
      <c r="K182" s="12"/>
      <c r="L182" s="37"/>
      <c r="M182" s="12"/>
      <c r="N182" s="12"/>
      <c r="O182" s="12"/>
      <c r="P182" s="12"/>
      <c r="Q182" s="174"/>
      <c r="R182" s="12"/>
      <c r="S182" s="12"/>
      <c r="T182" s="16">
        <v>400000</v>
      </c>
      <c r="U182" s="113">
        <v>396000</v>
      </c>
      <c r="V182" s="15" t="s">
        <v>583</v>
      </c>
      <c r="W182" s="12"/>
    </row>
    <row r="183" spans="1:23" x14ac:dyDescent="0.25">
      <c r="A183" s="17"/>
      <c r="B183" s="31"/>
      <c r="C183" s="22"/>
      <c r="D183" s="32"/>
      <c r="E183" s="12"/>
      <c r="F183" s="12"/>
      <c r="G183" s="12"/>
      <c r="H183" s="12"/>
      <c r="I183" s="12"/>
      <c r="J183" s="12"/>
      <c r="K183" s="12"/>
      <c r="L183" s="37"/>
      <c r="M183" s="12"/>
      <c r="N183" s="12"/>
      <c r="O183" s="12"/>
      <c r="P183" s="12"/>
      <c r="Q183" s="174"/>
      <c r="R183" s="12"/>
      <c r="S183" s="12"/>
      <c r="T183" s="16">
        <v>400000</v>
      </c>
      <c r="U183" s="113">
        <v>396000</v>
      </c>
      <c r="V183" s="15" t="s">
        <v>664</v>
      </c>
      <c r="W183" s="12"/>
    </row>
    <row r="184" spans="1:23" x14ac:dyDescent="0.25">
      <c r="A184" s="17"/>
      <c r="B184" s="31"/>
      <c r="C184" s="22"/>
      <c r="D184" s="3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74"/>
      <c r="R184" s="12"/>
      <c r="S184" s="12"/>
      <c r="T184" s="12"/>
      <c r="U184" s="61"/>
      <c r="V184" s="14"/>
      <c r="W184" s="12"/>
    </row>
    <row r="185" spans="1:23" ht="15.75" thickBot="1" x14ac:dyDescent="0.3">
      <c r="A185" s="295">
        <v>58034</v>
      </c>
      <c r="B185" s="296"/>
      <c r="C185" s="297"/>
      <c r="D185" s="298"/>
      <c r="E185" s="299"/>
      <c r="F185" s="299"/>
      <c r="G185" s="299"/>
      <c r="H185" s="299"/>
      <c r="I185" s="299"/>
      <c r="J185" s="299"/>
      <c r="K185" s="299"/>
      <c r="L185" s="313"/>
      <c r="M185" s="299"/>
      <c r="N185" s="299"/>
      <c r="O185" s="299"/>
      <c r="P185" s="299"/>
      <c r="Q185" s="300">
        <f>A185</f>
        <v>58034</v>
      </c>
      <c r="R185" s="337"/>
      <c r="S185" s="337"/>
      <c r="T185" s="337"/>
      <c r="U185" s="336"/>
      <c r="V185" s="329"/>
      <c r="W185" s="337"/>
    </row>
    <row r="186" spans="1:23" x14ac:dyDescent="0.25">
      <c r="A186" s="17">
        <v>2475000</v>
      </c>
      <c r="B186" s="31" t="s">
        <v>345</v>
      </c>
      <c r="C186" s="22">
        <v>45100</v>
      </c>
      <c r="D186" s="32">
        <v>18</v>
      </c>
      <c r="E186" s="12">
        <v>470864</v>
      </c>
      <c r="F186" s="12">
        <v>392767</v>
      </c>
      <c r="G186" s="220">
        <f>E186-F186</f>
        <v>78097</v>
      </c>
      <c r="H186" s="220">
        <f>ROUND(G186*18%,)</f>
        <v>14057</v>
      </c>
      <c r="I186" s="12">
        <f>G186+H186</f>
        <v>92154</v>
      </c>
      <c r="J186" s="12">
        <f>ROUND(G186*J5,)</f>
        <v>781</v>
      </c>
      <c r="K186" s="183">
        <f>ROUND(G186*K5,)</f>
        <v>3905</v>
      </c>
      <c r="L186" s="85"/>
      <c r="M186" s="184">
        <f>G186*10%</f>
        <v>7809.7000000000007</v>
      </c>
      <c r="N186" s="239">
        <f t="shared" ref="N186:N187" si="42">G186*18%</f>
        <v>14057.46</v>
      </c>
      <c r="O186" s="12"/>
      <c r="P186" s="12">
        <f t="shared" ref="P186:P189" si="43">ROUND(I186-SUM(J186:O186),0)</f>
        <v>65601</v>
      </c>
      <c r="Q186" s="168"/>
      <c r="R186" s="12">
        <v>2475000</v>
      </c>
      <c r="S186" s="12">
        <f>R186-SUM(T186:T191)</f>
        <v>-225000</v>
      </c>
      <c r="T186" s="16">
        <v>500000</v>
      </c>
      <c r="U186" s="113">
        <f>T186-1%*T186</f>
        <v>495000</v>
      </c>
      <c r="V186" s="222" t="s">
        <v>132</v>
      </c>
      <c r="W186" s="12">
        <f>SUM(P186:P191)-SUM(U186:U191)</f>
        <v>-1060571.9055999999</v>
      </c>
    </row>
    <row r="187" spans="1:23" ht="15.75" thickBot="1" x14ac:dyDescent="0.3">
      <c r="A187" s="17" t="s">
        <v>112</v>
      </c>
      <c r="B187" s="31" t="s">
        <v>345</v>
      </c>
      <c r="C187" s="22">
        <v>45332</v>
      </c>
      <c r="D187" s="95">
        <v>47196</v>
      </c>
      <c r="E187" s="12">
        <v>51136</v>
      </c>
      <c r="F187" s="12">
        <v>0</v>
      </c>
      <c r="G187" s="220">
        <v>51136</v>
      </c>
      <c r="H187" s="220">
        <v>9204</v>
      </c>
      <c r="I187" s="12">
        <v>60340</v>
      </c>
      <c r="J187" s="12">
        <v>511</v>
      </c>
      <c r="K187" s="183">
        <v>2557</v>
      </c>
      <c r="L187" s="187"/>
      <c r="M187" s="184">
        <v>5113.6000000000004</v>
      </c>
      <c r="N187" s="239">
        <f t="shared" si="42"/>
        <v>9204.48</v>
      </c>
      <c r="O187" s="12"/>
      <c r="P187" s="12">
        <f t="shared" si="43"/>
        <v>42954</v>
      </c>
      <c r="Q187" s="168"/>
      <c r="R187" s="12"/>
      <c r="S187" s="12"/>
      <c r="T187" s="16">
        <v>1000000</v>
      </c>
      <c r="U187" s="113">
        <v>990000</v>
      </c>
      <c r="V187" s="222" t="s">
        <v>489</v>
      </c>
      <c r="W187" s="12"/>
    </row>
    <row r="188" spans="1:23" x14ac:dyDescent="0.25">
      <c r="A188" s="17"/>
      <c r="B188" s="31" t="s">
        <v>345</v>
      </c>
      <c r="C188" s="22">
        <v>45394</v>
      </c>
      <c r="D188" s="32" t="s">
        <v>510</v>
      </c>
      <c r="E188" s="12">
        <v>391500</v>
      </c>
      <c r="F188" s="12">
        <v>173779</v>
      </c>
      <c r="G188" s="220">
        <v>217711.14</v>
      </c>
      <c r="H188" s="220">
        <f>G188*18%</f>
        <v>39188.0052</v>
      </c>
      <c r="I188" s="12">
        <f>G188+H188</f>
        <v>256899.14520000003</v>
      </c>
      <c r="J188" s="12">
        <v>2177.11</v>
      </c>
      <c r="K188" s="12">
        <v>10885.55</v>
      </c>
      <c r="L188" s="186" t="s">
        <v>212</v>
      </c>
      <c r="M188" s="12">
        <v>21771.11</v>
      </c>
      <c r="N188" s="239">
        <f>G188*18%</f>
        <v>39188.0052</v>
      </c>
      <c r="O188" s="12">
        <v>39188</v>
      </c>
      <c r="P188" s="12">
        <v>182877.37</v>
      </c>
      <c r="Q188" s="168"/>
      <c r="R188" s="12"/>
      <c r="S188" s="12"/>
      <c r="T188" s="16">
        <v>300000</v>
      </c>
      <c r="U188" s="113">
        <v>297000</v>
      </c>
      <c r="V188" s="15" t="s">
        <v>631</v>
      </c>
      <c r="W188" s="12"/>
    </row>
    <row r="189" spans="1:23" x14ac:dyDescent="0.25">
      <c r="A189" s="17"/>
      <c r="B189" s="31" t="s">
        <v>345</v>
      </c>
      <c r="C189" s="22">
        <v>45534</v>
      </c>
      <c r="D189" s="32">
        <v>58</v>
      </c>
      <c r="E189" s="12">
        <v>1174500</v>
      </c>
      <c r="F189" s="12">
        <v>202084.56</v>
      </c>
      <c r="G189" s="220">
        <f>E189-F189</f>
        <v>972415.44</v>
      </c>
      <c r="H189" s="220">
        <f>G189*18%</f>
        <v>175034.77919999999</v>
      </c>
      <c r="I189" s="12">
        <f>G189+H189</f>
        <v>1147450.2191999999</v>
      </c>
      <c r="J189" s="12">
        <f>G189*1%</f>
        <v>9724.1543999999994</v>
      </c>
      <c r="K189" s="12">
        <f>G189*5%</f>
        <v>48620.771999999997</v>
      </c>
      <c r="L189" s="12"/>
      <c r="M189" s="12"/>
      <c r="N189" s="18">
        <f>G189*18%</f>
        <v>175034.77919999999</v>
      </c>
      <c r="O189" s="12">
        <f>G189*7%</f>
        <v>68069.080799999996</v>
      </c>
      <c r="P189" s="12">
        <f t="shared" si="43"/>
        <v>846001</v>
      </c>
      <c r="Q189" s="168"/>
      <c r="R189" s="12"/>
      <c r="S189" s="12"/>
      <c r="T189" s="16">
        <v>500000</v>
      </c>
      <c r="U189" s="113">
        <v>495000</v>
      </c>
      <c r="V189" s="15" t="s">
        <v>630</v>
      </c>
      <c r="W189" s="12"/>
    </row>
    <row r="190" spans="1:23" x14ac:dyDescent="0.25">
      <c r="A190" s="17"/>
      <c r="B190" s="31" t="s">
        <v>114</v>
      </c>
      <c r="C190" s="22"/>
      <c r="D190" s="32" t="s">
        <v>650</v>
      </c>
      <c r="E190" s="12">
        <f>N186+N187+N188+N189</f>
        <v>237484.72440000001</v>
      </c>
      <c r="F190" s="12"/>
      <c r="G190" s="12"/>
      <c r="H190" s="41"/>
      <c r="I190" s="12"/>
      <c r="J190" s="12"/>
      <c r="K190" s="12"/>
      <c r="L190" s="12"/>
      <c r="M190" s="12"/>
      <c r="N190" s="12"/>
      <c r="O190" s="12"/>
      <c r="P190" s="12">
        <f>E190</f>
        <v>237484.72440000001</v>
      </c>
      <c r="Q190" s="168"/>
      <c r="R190" s="12"/>
      <c r="S190" s="12"/>
      <c r="T190" s="16">
        <v>400000</v>
      </c>
      <c r="U190" s="113">
        <v>396000</v>
      </c>
      <c r="V190" s="15" t="s">
        <v>639</v>
      </c>
      <c r="W190" s="12"/>
    </row>
    <row r="191" spans="1:23" x14ac:dyDescent="0.25">
      <c r="A191" s="17"/>
      <c r="B191" s="31" t="s">
        <v>345</v>
      </c>
      <c r="C191" s="22">
        <v>45710</v>
      </c>
      <c r="D191" s="32">
        <v>142</v>
      </c>
      <c r="E191" s="12">
        <v>391500</v>
      </c>
      <c r="F191" s="12">
        <v>0</v>
      </c>
      <c r="G191" s="220">
        <f>E191-F191</f>
        <v>391500</v>
      </c>
      <c r="H191" s="220">
        <f>G191*18%</f>
        <v>70470</v>
      </c>
      <c r="I191" s="12">
        <f>G191+H191</f>
        <v>461970</v>
      </c>
      <c r="J191" s="12">
        <f>G191*1%</f>
        <v>3915</v>
      </c>
      <c r="K191" s="12">
        <f>G191*5%</f>
        <v>19575</v>
      </c>
      <c r="L191" s="12"/>
      <c r="M191" s="12"/>
      <c r="N191" s="18">
        <f>G191*18%</f>
        <v>70470</v>
      </c>
      <c r="O191" s="12">
        <v>130500</v>
      </c>
      <c r="P191" s="12">
        <f t="shared" ref="P191" si="44">ROUND(I191-SUM(J191:O191),0)</f>
        <v>237510</v>
      </c>
      <c r="Q191" s="168"/>
      <c r="R191" s="12"/>
      <c r="S191" s="12"/>
      <c r="T191" s="12"/>
      <c r="U191" s="61"/>
      <c r="V191" s="35"/>
      <c r="W191" s="12"/>
    </row>
    <row r="192" spans="1:23" x14ac:dyDescent="0.25">
      <c r="A192" s="295">
        <v>58045</v>
      </c>
      <c r="B192" s="299"/>
      <c r="C192" s="297"/>
      <c r="D192" s="298"/>
      <c r="E192" s="299"/>
      <c r="F192" s="299"/>
      <c r="G192" s="299"/>
      <c r="H192" s="299"/>
      <c r="I192" s="299"/>
      <c r="J192" s="299"/>
      <c r="K192" s="299"/>
      <c r="L192" s="299"/>
      <c r="M192" s="299"/>
      <c r="N192" s="259"/>
      <c r="O192" s="259"/>
      <c r="P192" s="299"/>
      <c r="Q192" s="300">
        <f>A192</f>
        <v>58045</v>
      </c>
      <c r="R192" s="259"/>
      <c r="S192" s="259"/>
      <c r="T192" s="259"/>
      <c r="U192" s="336"/>
      <c r="V192" s="261"/>
      <c r="W192" s="259"/>
    </row>
    <row r="193" spans="1:60" x14ac:dyDescent="0.25">
      <c r="A193" s="17">
        <v>4130000</v>
      </c>
      <c r="B193" s="31" t="s">
        <v>325</v>
      </c>
      <c r="C193" s="22">
        <v>45327</v>
      </c>
      <c r="D193" s="107">
        <v>24186</v>
      </c>
      <c r="E193" s="12">
        <f>3765301*25%</f>
        <v>941325.25</v>
      </c>
      <c r="F193" s="12">
        <v>313377</v>
      </c>
      <c r="G193" s="220">
        <f>E193-F193</f>
        <v>627948.25</v>
      </c>
      <c r="H193" s="220">
        <f>ROUND(G193*18%,)</f>
        <v>113031</v>
      </c>
      <c r="I193" s="12">
        <f>G193+H193</f>
        <v>740979.25</v>
      </c>
      <c r="J193" s="12">
        <f>ROUND(G193*J5,)</f>
        <v>6279</v>
      </c>
      <c r="K193" s="12">
        <f>ROUND(G193*5%,)</f>
        <v>31397</v>
      </c>
      <c r="L193" s="12"/>
      <c r="M193" s="12">
        <f>G193*10%</f>
        <v>62794.825000000004</v>
      </c>
      <c r="N193" s="239">
        <f>H193</f>
        <v>113031</v>
      </c>
      <c r="O193" s="12"/>
      <c r="P193" s="12">
        <f t="shared" ref="P193:P197" si="45">ROUND(I193-SUM(J193:O193),0)</f>
        <v>527477</v>
      </c>
      <c r="Q193" s="174"/>
      <c r="R193" s="37">
        <v>4130000</v>
      </c>
      <c r="S193" s="12">
        <f>R193-SUM(T193:T206)</f>
        <v>30000</v>
      </c>
      <c r="T193" s="40">
        <v>300000</v>
      </c>
      <c r="U193" s="113">
        <f t="shared" ref="U193:U195" si="46">T193-1%*T193</f>
        <v>297000</v>
      </c>
      <c r="V193" s="15" t="s">
        <v>117</v>
      </c>
      <c r="W193" s="12">
        <f>SUM(P193:P206)-SUM(U193:U206)</f>
        <v>-1757477.577</v>
      </c>
    </row>
    <row r="194" spans="1:60" s="25" customFormat="1" x14ac:dyDescent="0.25">
      <c r="A194" s="58" t="s">
        <v>112</v>
      </c>
      <c r="B194" s="12"/>
      <c r="C194" s="22">
        <v>45332</v>
      </c>
      <c r="D194" s="32" t="s">
        <v>404</v>
      </c>
      <c r="E194" s="12">
        <v>91174.75</v>
      </c>
      <c r="F194" s="12">
        <v>0</v>
      </c>
      <c r="G194" s="220">
        <v>91174.75</v>
      </c>
      <c r="H194" s="220">
        <v>16411</v>
      </c>
      <c r="I194" s="12">
        <v>107585.75</v>
      </c>
      <c r="J194" s="12">
        <v>912</v>
      </c>
      <c r="K194" s="12">
        <v>4559</v>
      </c>
      <c r="L194" s="12"/>
      <c r="M194" s="12">
        <v>9117.4750000000004</v>
      </c>
      <c r="N194" s="241">
        <v>16411</v>
      </c>
      <c r="O194" s="37"/>
      <c r="P194" s="12">
        <f t="shared" si="45"/>
        <v>76586</v>
      </c>
      <c r="Q194" s="170"/>
      <c r="R194" s="37"/>
      <c r="S194" s="37"/>
      <c r="T194" s="40">
        <v>200000</v>
      </c>
      <c r="U194" s="113">
        <f t="shared" si="46"/>
        <v>198000</v>
      </c>
      <c r="V194" s="15" t="s">
        <v>125</v>
      </c>
      <c r="W194" s="37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</row>
    <row r="195" spans="1:60" s="25" customFormat="1" x14ac:dyDescent="0.25">
      <c r="A195" s="58"/>
      <c r="B195" s="31"/>
      <c r="C195" s="139">
        <v>45162</v>
      </c>
      <c r="D195" s="140" t="s">
        <v>459</v>
      </c>
      <c r="E195" s="18">
        <v>619500</v>
      </c>
      <c r="F195" s="18">
        <v>205092.35</v>
      </c>
      <c r="G195" s="224">
        <f>E195-F195</f>
        <v>414407.65</v>
      </c>
      <c r="H195" s="220">
        <f>ROUND(G195*18%,)</f>
        <v>74593</v>
      </c>
      <c r="I195" s="18">
        <f>G195+H195</f>
        <v>489000.65</v>
      </c>
      <c r="J195" s="18">
        <f>ROUND(G195*$J$5,)</f>
        <v>4144</v>
      </c>
      <c r="K195" s="18">
        <f>ROUND(G195*$K$5,)</f>
        <v>20720</v>
      </c>
      <c r="L195" s="37"/>
      <c r="M195" s="12">
        <f>G195*10%</f>
        <v>41440.765000000007</v>
      </c>
      <c r="N195" s="239">
        <f>H195</f>
        <v>74593</v>
      </c>
      <c r="O195" s="12"/>
      <c r="P195" s="12">
        <f t="shared" si="45"/>
        <v>348103</v>
      </c>
      <c r="Q195" s="170"/>
      <c r="R195" s="37"/>
      <c r="S195" s="37"/>
      <c r="T195" s="40">
        <v>100000</v>
      </c>
      <c r="U195" s="113">
        <f t="shared" si="46"/>
        <v>99000</v>
      </c>
      <c r="V195" s="15" t="s">
        <v>134</v>
      </c>
      <c r="W195" s="37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</row>
    <row r="196" spans="1:60" x14ac:dyDescent="0.25">
      <c r="A196" s="58"/>
      <c r="B196" s="31"/>
      <c r="C196" s="139">
        <v>45233</v>
      </c>
      <c r="D196" s="157">
        <v>125</v>
      </c>
      <c r="E196" s="18">
        <v>619500</v>
      </c>
      <c r="F196" s="18">
        <v>215218</v>
      </c>
      <c r="G196" s="18">
        <v>404281.1</v>
      </c>
      <c r="H196" s="41">
        <v>72770.59</v>
      </c>
      <c r="I196" s="18">
        <v>477051.69</v>
      </c>
      <c r="J196" s="18">
        <v>4042.81</v>
      </c>
      <c r="K196" s="18">
        <v>20214.055</v>
      </c>
      <c r="L196" s="37"/>
      <c r="M196" s="12">
        <v>40428.11</v>
      </c>
      <c r="N196" s="18">
        <v>72770.597999999998</v>
      </c>
      <c r="O196" s="12"/>
      <c r="P196" s="12">
        <v>339596.11200000002</v>
      </c>
      <c r="Q196" s="170"/>
      <c r="R196" s="37"/>
      <c r="S196" s="37"/>
      <c r="T196" s="40">
        <v>500000</v>
      </c>
      <c r="U196" s="113">
        <f t="shared" ref="U196:U200" si="47">T196-1%*T196</f>
        <v>495000</v>
      </c>
      <c r="V196" s="15" t="s">
        <v>171</v>
      </c>
      <c r="W196" s="37"/>
    </row>
    <row r="197" spans="1:60" x14ac:dyDescent="0.25">
      <c r="A197" s="58"/>
      <c r="B197" s="31"/>
      <c r="C197" s="22">
        <v>45424</v>
      </c>
      <c r="D197" s="32" t="s">
        <v>511</v>
      </c>
      <c r="E197" s="12">
        <v>619500</v>
      </c>
      <c r="F197" s="12">
        <v>214620</v>
      </c>
      <c r="G197" s="220">
        <f>E197-F197</f>
        <v>404880</v>
      </c>
      <c r="H197" s="220">
        <f>ROUND(G197*18%,)</f>
        <v>72878</v>
      </c>
      <c r="I197" s="12">
        <f>G197+H197</f>
        <v>477758</v>
      </c>
      <c r="J197" s="12">
        <f>ROUND(G197*$J$5,)</f>
        <v>4049</v>
      </c>
      <c r="K197" s="12">
        <f>ROUND(G197*$K$5,)</f>
        <v>20244</v>
      </c>
      <c r="L197" s="37"/>
      <c r="M197" s="12">
        <f>G197*10%</f>
        <v>40488</v>
      </c>
      <c r="N197" s="239">
        <f>H197</f>
        <v>72878</v>
      </c>
      <c r="O197" s="12"/>
      <c r="P197" s="12">
        <f t="shared" si="45"/>
        <v>340099</v>
      </c>
      <c r="Q197" s="170"/>
      <c r="R197" s="37"/>
      <c r="S197" s="37"/>
      <c r="T197" s="40">
        <v>250000</v>
      </c>
      <c r="U197" s="113">
        <f t="shared" si="47"/>
        <v>247500</v>
      </c>
      <c r="V197" s="15" t="s">
        <v>218</v>
      </c>
      <c r="W197" s="37"/>
    </row>
    <row r="198" spans="1:60" x14ac:dyDescent="0.25">
      <c r="A198" s="58"/>
      <c r="B198" s="31"/>
      <c r="C198" s="142">
        <v>45309</v>
      </c>
      <c r="D198" s="32">
        <v>172</v>
      </c>
      <c r="E198" s="12">
        <v>413000</v>
      </c>
      <c r="F198" s="12">
        <v>210351.43</v>
      </c>
      <c r="G198" s="12">
        <f>E198-F198</f>
        <v>202648.57</v>
      </c>
      <c r="H198" s="12">
        <f>ROUND(G198*18%,)</f>
        <v>36477</v>
      </c>
      <c r="I198" s="12">
        <f>G198+H198</f>
        <v>239125.57</v>
      </c>
      <c r="J198" s="12">
        <f>ROUND(G198*$J$5,)</f>
        <v>2026</v>
      </c>
      <c r="K198" s="12">
        <f>ROUND(G198*$K$5,)</f>
        <v>10132</v>
      </c>
      <c r="L198" s="37"/>
      <c r="M198" s="12">
        <f>G198*10%</f>
        <v>20264.857000000004</v>
      </c>
      <c r="N198" s="18">
        <f>H198</f>
        <v>36477</v>
      </c>
      <c r="O198" s="12"/>
      <c r="P198" s="12">
        <f>I198-SUM(J198:N198)</f>
        <v>170225.71299999999</v>
      </c>
      <c r="Q198" s="170"/>
      <c r="R198" s="37"/>
      <c r="S198" s="37"/>
      <c r="T198" s="40">
        <v>200000</v>
      </c>
      <c r="U198" s="113">
        <f t="shared" si="47"/>
        <v>198000</v>
      </c>
      <c r="V198" s="15" t="s">
        <v>219</v>
      </c>
      <c r="W198" s="37"/>
    </row>
    <row r="199" spans="1:60" x14ac:dyDescent="0.25">
      <c r="A199" s="58"/>
      <c r="B199" s="31"/>
      <c r="C199" s="22">
        <v>45534</v>
      </c>
      <c r="D199" s="32">
        <v>61</v>
      </c>
      <c r="E199" s="12">
        <v>413000</v>
      </c>
      <c r="F199" s="12">
        <v>311861.64</v>
      </c>
      <c r="G199" s="220">
        <f>E199-F199</f>
        <v>101138.35999999999</v>
      </c>
      <c r="H199" s="220">
        <f>ROUND(G199*18%,)</f>
        <v>18205</v>
      </c>
      <c r="I199" s="12">
        <f>G199+H199</f>
        <v>119343.35999999999</v>
      </c>
      <c r="J199" s="12">
        <f>ROUND(G199*$J$5,)</f>
        <v>1011</v>
      </c>
      <c r="K199" s="12">
        <f>ROUND(G199*$K$5,)</f>
        <v>5057</v>
      </c>
      <c r="L199" s="37"/>
      <c r="M199" s="12"/>
      <c r="N199" s="18">
        <f>H199</f>
        <v>18205</v>
      </c>
      <c r="O199" s="12"/>
      <c r="P199" s="12">
        <f t="shared" ref="P199" si="48">ROUND(I199-SUM(J199:O199),0)</f>
        <v>95070</v>
      </c>
      <c r="Q199" s="170"/>
      <c r="R199" s="37"/>
      <c r="S199" s="37"/>
      <c r="T199" s="40">
        <v>250000</v>
      </c>
      <c r="U199" s="113">
        <f t="shared" si="47"/>
        <v>247500</v>
      </c>
      <c r="V199" s="15" t="s">
        <v>460</v>
      </c>
      <c r="W199" s="37"/>
    </row>
    <row r="200" spans="1:60" ht="28.5" x14ac:dyDescent="0.25">
      <c r="A200" s="58"/>
      <c r="B200" s="31" t="s">
        <v>575</v>
      </c>
      <c r="C200" s="22"/>
      <c r="D200" s="31" t="s">
        <v>782</v>
      </c>
      <c r="E200" s="12">
        <f>SUM(N193:N199)</f>
        <v>404365.598</v>
      </c>
      <c r="F200" s="12"/>
      <c r="G200" s="12"/>
      <c r="H200" s="12"/>
      <c r="I200" s="12"/>
      <c r="J200" s="12"/>
      <c r="K200" s="12"/>
      <c r="L200" s="37"/>
      <c r="M200" s="12"/>
      <c r="N200" s="96"/>
      <c r="O200" s="12"/>
      <c r="P200" s="12">
        <f>E200</f>
        <v>404365.598</v>
      </c>
      <c r="Q200" s="169"/>
      <c r="R200" s="37"/>
      <c r="S200" s="37"/>
      <c r="T200" s="40">
        <v>200000</v>
      </c>
      <c r="U200" s="113">
        <f t="shared" si="47"/>
        <v>198000</v>
      </c>
      <c r="V200" s="15" t="s">
        <v>351</v>
      </c>
      <c r="W200" s="37"/>
    </row>
    <row r="201" spans="1:60" x14ac:dyDescent="0.25">
      <c r="A201" s="58"/>
      <c r="B201" s="31"/>
      <c r="C201" s="22"/>
      <c r="D201" s="32"/>
      <c r="E201" s="12"/>
      <c r="F201" s="12"/>
      <c r="G201" s="12"/>
      <c r="H201" s="12"/>
      <c r="I201" s="12"/>
      <c r="J201" s="12"/>
      <c r="K201" s="12"/>
      <c r="L201" s="37"/>
      <c r="M201" s="12"/>
      <c r="N201" s="96"/>
      <c r="O201" s="12"/>
      <c r="P201" s="12"/>
      <c r="Q201" s="169"/>
      <c r="R201" s="37"/>
      <c r="S201" s="37"/>
      <c r="T201" s="40">
        <v>500000</v>
      </c>
      <c r="U201" s="113">
        <v>495000</v>
      </c>
      <c r="V201" s="15" t="s">
        <v>487</v>
      </c>
      <c r="W201" s="37"/>
    </row>
    <row r="202" spans="1:60" x14ac:dyDescent="0.25">
      <c r="A202" s="58"/>
      <c r="B202" s="31"/>
      <c r="C202" s="22"/>
      <c r="D202" s="32"/>
      <c r="E202" s="12"/>
      <c r="F202" s="12"/>
      <c r="G202" s="12"/>
      <c r="H202" s="12"/>
      <c r="I202" s="12"/>
      <c r="J202" s="12"/>
      <c r="K202" s="12"/>
      <c r="L202" s="12"/>
      <c r="M202" s="12"/>
      <c r="N202" s="37"/>
      <c r="O202" s="37"/>
      <c r="P202" s="12"/>
      <c r="Q202" s="170"/>
      <c r="R202" s="37"/>
      <c r="S202" s="37"/>
      <c r="T202" s="40">
        <v>500000</v>
      </c>
      <c r="U202" s="113">
        <v>495000</v>
      </c>
      <c r="V202" s="15" t="s">
        <v>488</v>
      </c>
      <c r="W202" s="37"/>
    </row>
    <row r="203" spans="1:60" x14ac:dyDescent="0.25">
      <c r="A203" s="58"/>
      <c r="B203" s="31"/>
      <c r="C203" s="22"/>
      <c r="D203" s="32"/>
      <c r="E203" s="12"/>
      <c r="F203" s="12"/>
      <c r="G203" s="12"/>
      <c r="H203" s="12"/>
      <c r="I203" s="12"/>
      <c r="J203" s="12"/>
      <c r="K203" s="12"/>
      <c r="L203" s="12"/>
      <c r="M203" s="12"/>
      <c r="N203" s="37"/>
      <c r="O203" s="37"/>
      <c r="P203" s="12"/>
      <c r="Q203" s="170"/>
      <c r="R203" s="37"/>
      <c r="S203" s="37"/>
      <c r="T203" s="40">
        <v>400000</v>
      </c>
      <c r="U203" s="113">
        <v>396000</v>
      </c>
      <c r="V203" s="15" t="s">
        <v>582</v>
      </c>
      <c r="W203" s="37"/>
    </row>
    <row r="204" spans="1:60" x14ac:dyDescent="0.25">
      <c r="A204" s="58"/>
      <c r="B204" s="31"/>
      <c r="C204" s="22"/>
      <c r="D204" s="32"/>
      <c r="E204" s="12"/>
      <c r="F204" s="12"/>
      <c r="G204" s="12"/>
      <c r="H204" s="12"/>
      <c r="I204" s="12"/>
      <c r="J204" s="12"/>
      <c r="K204" s="12"/>
      <c r="L204" s="12"/>
      <c r="M204" s="12"/>
      <c r="N204" s="37"/>
      <c r="O204" s="37"/>
      <c r="P204" s="12"/>
      <c r="Q204" s="170"/>
      <c r="R204" s="37"/>
      <c r="S204" s="37"/>
      <c r="T204" s="40">
        <v>300000</v>
      </c>
      <c r="U204" s="113">
        <v>297000</v>
      </c>
      <c r="V204" s="15" t="s">
        <v>637</v>
      </c>
      <c r="W204" s="37"/>
    </row>
    <row r="205" spans="1:60" x14ac:dyDescent="0.25">
      <c r="A205" s="58"/>
      <c r="B205" s="31"/>
      <c r="C205" s="22"/>
      <c r="D205" s="32"/>
      <c r="E205" s="12"/>
      <c r="F205" s="12"/>
      <c r="G205" s="12"/>
      <c r="H205" s="12"/>
      <c r="I205" s="12"/>
      <c r="J205" s="12"/>
      <c r="K205" s="12"/>
      <c r="L205" s="12"/>
      <c r="M205" s="12"/>
      <c r="N205" s="37"/>
      <c r="O205" s="37"/>
      <c r="P205" s="12"/>
      <c r="Q205" s="170"/>
      <c r="R205" s="37"/>
      <c r="S205" s="37"/>
      <c r="T205" s="40">
        <v>400000</v>
      </c>
      <c r="U205" s="113">
        <v>396000</v>
      </c>
      <c r="V205" s="15" t="s">
        <v>695</v>
      </c>
      <c r="W205" s="37"/>
    </row>
    <row r="206" spans="1:60" x14ac:dyDescent="0.25">
      <c r="A206" s="58"/>
      <c r="B206" s="31"/>
      <c r="C206" s="22"/>
      <c r="D206" s="32"/>
      <c r="E206" s="12"/>
      <c r="F206" s="12"/>
      <c r="G206" s="12"/>
      <c r="H206" s="12"/>
      <c r="I206" s="12"/>
      <c r="J206" s="12"/>
      <c r="K206" s="12"/>
      <c r="L206" s="12"/>
      <c r="M206" s="12"/>
      <c r="N206" s="37"/>
      <c r="O206" s="37"/>
      <c r="P206" s="12"/>
      <c r="Q206" s="170"/>
      <c r="R206" s="37"/>
      <c r="S206" s="37"/>
      <c r="T206" s="37"/>
      <c r="U206" s="181"/>
      <c r="V206" s="14"/>
      <c r="W206" s="37"/>
    </row>
    <row r="207" spans="1:60" x14ac:dyDescent="0.25">
      <c r="A207" s="295">
        <v>58354</v>
      </c>
      <c r="B207" s="299"/>
      <c r="C207" s="299"/>
      <c r="D207" s="299"/>
      <c r="E207" s="299"/>
      <c r="F207" s="299"/>
      <c r="G207" s="299"/>
      <c r="H207" s="299"/>
      <c r="I207" s="299"/>
      <c r="J207" s="299"/>
      <c r="K207" s="299"/>
      <c r="L207" s="299"/>
      <c r="M207" s="299"/>
      <c r="N207" s="299"/>
      <c r="O207" s="299"/>
      <c r="P207" s="299"/>
      <c r="Q207" s="300">
        <f>A207</f>
        <v>58354</v>
      </c>
      <c r="R207" s="299"/>
      <c r="S207" s="299"/>
      <c r="T207" s="299"/>
      <c r="U207" s="336"/>
      <c r="V207" s="261"/>
      <c r="W207" s="299"/>
    </row>
    <row r="208" spans="1:60" x14ac:dyDescent="0.25">
      <c r="A208" s="17">
        <v>3150000</v>
      </c>
      <c r="B208" s="31" t="s">
        <v>324</v>
      </c>
      <c r="C208" s="22">
        <v>45117</v>
      </c>
      <c r="D208" s="153" t="s">
        <v>771</v>
      </c>
      <c r="E208" s="12">
        <f>2875697*5%</f>
        <v>143784.85</v>
      </c>
      <c r="F208" s="12">
        <v>38000</v>
      </c>
      <c r="G208" s="220">
        <v>105787.85</v>
      </c>
      <c r="H208" s="220">
        <v>19041</v>
      </c>
      <c r="I208" s="12">
        <f>G208+H208</f>
        <v>124828.85</v>
      </c>
      <c r="J208" s="12">
        <f>ROUND(G208*1%,)</f>
        <v>1058</v>
      </c>
      <c r="K208" s="12">
        <f>ROUND(G208*5%,)</f>
        <v>5289</v>
      </c>
      <c r="L208" s="12">
        <v>0</v>
      </c>
      <c r="M208" s="12">
        <f>G208*10%</f>
        <v>10578.785000000002</v>
      </c>
      <c r="N208" s="238">
        <f>H208</f>
        <v>19041</v>
      </c>
      <c r="O208" s="37"/>
      <c r="P208" s="12">
        <f>I208-SUM(J208:N208)</f>
        <v>88862.065000000002</v>
      </c>
      <c r="Q208" s="174"/>
      <c r="R208" s="37">
        <v>3150000</v>
      </c>
      <c r="S208" s="12">
        <f>R208-SUM(T208:T216)</f>
        <v>0</v>
      </c>
      <c r="T208" s="40">
        <v>500000</v>
      </c>
      <c r="U208" s="113">
        <f>T208-1%*T208</f>
        <v>495000</v>
      </c>
      <c r="V208" s="15" t="s">
        <v>101</v>
      </c>
      <c r="W208" s="12">
        <v>-935097.76</v>
      </c>
    </row>
    <row r="209" spans="1:60" x14ac:dyDescent="0.25">
      <c r="A209" s="58"/>
      <c r="B209" s="31"/>
      <c r="C209" s="22">
        <v>45117</v>
      </c>
      <c r="D209" s="153" t="s">
        <v>770</v>
      </c>
      <c r="E209" s="12">
        <v>575139.4</v>
      </c>
      <c r="F209" s="12">
        <v>338488</v>
      </c>
      <c r="G209" s="220">
        <f>E209-F209</f>
        <v>236651.40000000002</v>
      </c>
      <c r="H209" s="220">
        <f>ROUND(G209*18%,)</f>
        <v>42597</v>
      </c>
      <c r="I209" s="12">
        <f>G209+H209</f>
        <v>279248.40000000002</v>
      </c>
      <c r="J209" s="12">
        <f>ROUND(G209*1%,)</f>
        <v>2367</v>
      </c>
      <c r="K209" s="12">
        <f>ROUND(G209*5%,)</f>
        <v>11833</v>
      </c>
      <c r="L209" s="12"/>
      <c r="M209" s="12">
        <f>G209*10%</f>
        <v>23665.140000000003</v>
      </c>
      <c r="N209" s="238">
        <f>H209</f>
        <v>42597</v>
      </c>
      <c r="O209" s="37"/>
      <c r="P209" s="12">
        <f>I209-SUM(J209:N209)</f>
        <v>198786.26</v>
      </c>
      <c r="Q209" s="170"/>
      <c r="R209" s="37"/>
      <c r="S209" s="37"/>
      <c r="T209" s="40">
        <v>300000</v>
      </c>
      <c r="U209" s="113">
        <f t="shared" ref="U209:U212" si="49">T209-1%*T209</f>
        <v>297000</v>
      </c>
      <c r="V209" s="15" t="s">
        <v>165</v>
      </c>
      <c r="W209" s="37"/>
    </row>
    <row r="210" spans="1:60" x14ac:dyDescent="0.25">
      <c r="A210" s="17" t="s">
        <v>112</v>
      </c>
      <c r="B210" s="12"/>
      <c r="C210" s="22">
        <v>45323</v>
      </c>
      <c r="D210" s="32" t="s">
        <v>439</v>
      </c>
      <c r="E210" s="12">
        <v>68575.749999999971</v>
      </c>
      <c r="F210" s="12">
        <v>0</v>
      </c>
      <c r="G210" s="220">
        <v>68575.749999999971</v>
      </c>
      <c r="H210" s="220">
        <v>12344</v>
      </c>
      <c r="I210" s="12">
        <v>80919.749999999971</v>
      </c>
      <c r="J210" s="12">
        <v>686</v>
      </c>
      <c r="K210" s="12">
        <v>3429</v>
      </c>
      <c r="L210" s="37"/>
      <c r="M210" s="12">
        <v>6857.5749999999971</v>
      </c>
      <c r="N210" s="227">
        <v>12344</v>
      </c>
      <c r="O210" s="12"/>
      <c r="P210" s="12">
        <v>57603.174999999974</v>
      </c>
      <c r="Q210" s="170"/>
      <c r="R210" s="37"/>
      <c r="S210" s="37"/>
      <c r="T210" s="40">
        <v>300000</v>
      </c>
      <c r="U210" s="113">
        <f t="shared" si="49"/>
        <v>297000</v>
      </c>
      <c r="V210" s="15" t="s">
        <v>174</v>
      </c>
      <c r="W210" s="37"/>
    </row>
    <row r="211" spans="1:60" x14ac:dyDescent="0.25">
      <c r="A211" s="391"/>
      <c r="B211" s="42"/>
      <c r="C211" s="43">
        <v>45329</v>
      </c>
      <c r="D211" s="44" t="s">
        <v>440</v>
      </c>
      <c r="E211" s="41">
        <f>3150000*15%</f>
        <v>472500</v>
      </c>
      <c r="F211" s="41">
        <v>215985</v>
      </c>
      <c r="G211" s="220">
        <v>220630.2</v>
      </c>
      <c r="H211" s="220">
        <f>ROUND(G211*18%,)</f>
        <v>39713</v>
      </c>
      <c r="I211" s="41">
        <f>G211+H211</f>
        <v>260343.2</v>
      </c>
      <c r="J211" s="41">
        <f>ROUND(G211*1%,)</f>
        <v>2206</v>
      </c>
      <c r="K211" s="41">
        <f>ROUND(G211*5%,)</f>
        <v>11032</v>
      </c>
      <c r="L211" s="365"/>
      <c r="M211" s="41">
        <f>G211*10%</f>
        <v>22063.020000000004</v>
      </c>
      <c r="N211" s="41">
        <f>H211</f>
        <v>39713</v>
      </c>
      <c r="O211" s="41">
        <v>75415</v>
      </c>
      <c r="P211" s="41">
        <f>G211-J211-K211-O211-M211</f>
        <v>109914.18000000001</v>
      </c>
      <c r="Q211" s="392"/>
      <c r="R211" s="365"/>
      <c r="S211" s="365"/>
      <c r="T211" s="40">
        <v>250000</v>
      </c>
      <c r="U211" s="113">
        <f t="shared" si="49"/>
        <v>247500</v>
      </c>
      <c r="V211" s="15" t="s">
        <v>173</v>
      </c>
      <c r="W211" s="37"/>
    </row>
    <row r="212" spans="1:60" x14ac:dyDescent="0.25">
      <c r="A212" s="17"/>
      <c r="B212" s="31"/>
      <c r="C212" s="22">
        <v>45438</v>
      </c>
      <c r="D212" s="32" t="s">
        <v>512</v>
      </c>
      <c r="E212" s="12">
        <f>3150000*15%</f>
        <v>472500</v>
      </c>
      <c r="F212" s="12">
        <v>96789</v>
      </c>
      <c r="G212" s="220">
        <f>E212-F212</f>
        <v>375711</v>
      </c>
      <c r="H212" s="220">
        <f>ROUND(G212*18%,)</f>
        <v>67628</v>
      </c>
      <c r="I212" s="12">
        <f>G212+H212</f>
        <v>443339</v>
      </c>
      <c r="J212" s="12">
        <f>ROUND(G212*1%,)</f>
        <v>3757</v>
      </c>
      <c r="K212" s="12">
        <f>ROUND(G212*5%,)</f>
        <v>18786</v>
      </c>
      <c r="L212" s="37"/>
      <c r="M212" s="12">
        <f>G212*10%</f>
        <v>37571.1</v>
      </c>
      <c r="N212" s="227">
        <f>H212</f>
        <v>67628</v>
      </c>
      <c r="O212" s="12"/>
      <c r="P212" s="12">
        <f>G212-J212-K212-O212-M212</f>
        <v>315596.90000000002</v>
      </c>
      <c r="Q212" s="170"/>
      <c r="R212" s="37"/>
      <c r="S212" s="37"/>
      <c r="T212" s="40">
        <v>500000</v>
      </c>
      <c r="U212" s="113">
        <f t="shared" si="49"/>
        <v>495000</v>
      </c>
      <c r="V212" s="15" t="s">
        <v>358</v>
      </c>
      <c r="W212" s="37"/>
    </row>
    <row r="213" spans="1:60" x14ac:dyDescent="0.25">
      <c r="A213" s="17"/>
      <c r="B213" s="31"/>
      <c r="C213" s="22">
        <v>45325</v>
      </c>
      <c r="D213" s="32">
        <v>183</v>
      </c>
      <c r="E213" s="12">
        <f>3150000*15%</f>
        <v>472500</v>
      </c>
      <c r="F213" s="12">
        <v>0</v>
      </c>
      <c r="G213" s="220">
        <f>E213-F213</f>
        <v>472500</v>
      </c>
      <c r="H213" s="220">
        <f>ROUND(G213*18%,)</f>
        <v>85050</v>
      </c>
      <c r="I213" s="12">
        <f>G213+H213</f>
        <v>557550</v>
      </c>
      <c r="J213" s="12">
        <f>ROUND(G213*1%,)</f>
        <v>4725</v>
      </c>
      <c r="K213" s="12">
        <f>ROUND(G213*5%,)</f>
        <v>23625</v>
      </c>
      <c r="L213" s="37"/>
      <c r="M213" s="12"/>
      <c r="N213" s="227">
        <f>H213</f>
        <v>85050</v>
      </c>
      <c r="O213" s="12"/>
      <c r="P213" s="12">
        <f>G213-J213-K213-O213-M213</f>
        <v>444150</v>
      </c>
      <c r="Q213" s="170"/>
      <c r="R213" s="37"/>
      <c r="S213" s="37"/>
      <c r="T213" s="40">
        <v>500000</v>
      </c>
      <c r="U213" s="113">
        <v>495000</v>
      </c>
      <c r="V213" s="15" t="s">
        <v>545</v>
      </c>
      <c r="W213" s="37"/>
    </row>
    <row r="214" spans="1:60" ht="28.5" x14ac:dyDescent="0.25">
      <c r="A214" s="17"/>
      <c r="B214" s="31" t="s">
        <v>114</v>
      </c>
      <c r="C214" s="22"/>
      <c r="D214" s="31" t="s">
        <v>783</v>
      </c>
      <c r="E214" s="12">
        <f>SUM(N208:N213)</f>
        <v>266373</v>
      </c>
      <c r="F214" s="12"/>
      <c r="G214" s="12"/>
      <c r="H214" s="12"/>
      <c r="I214" s="12"/>
      <c r="J214" s="12"/>
      <c r="K214" s="12"/>
      <c r="L214" s="37"/>
      <c r="M214" s="12"/>
      <c r="N214" s="12"/>
      <c r="O214" s="12"/>
      <c r="P214" s="12">
        <f>E214</f>
        <v>266373</v>
      </c>
      <c r="Q214" s="170"/>
      <c r="R214" s="37"/>
      <c r="S214" s="37"/>
      <c r="T214" s="40">
        <v>300000</v>
      </c>
      <c r="U214" s="113">
        <v>297000</v>
      </c>
      <c r="V214" s="15" t="s">
        <v>581</v>
      </c>
      <c r="W214" s="37"/>
    </row>
    <row r="215" spans="1:60" x14ac:dyDescent="0.25">
      <c r="A215" s="17"/>
      <c r="B215" s="31"/>
      <c r="C215" s="22">
        <v>45534</v>
      </c>
      <c r="D215" s="32">
        <v>60</v>
      </c>
      <c r="E215" s="12">
        <v>787500</v>
      </c>
      <c r="F215" s="12">
        <v>231096.51</v>
      </c>
      <c r="G215" s="220">
        <f>E215-F215</f>
        <v>556403.49</v>
      </c>
      <c r="H215" s="220">
        <f>ROUND(G215*18%,)</f>
        <v>100153</v>
      </c>
      <c r="I215" s="12">
        <f>G215+H215</f>
        <v>656556.49</v>
      </c>
      <c r="J215" s="12">
        <f>ROUND(G215*1%,)</f>
        <v>5564</v>
      </c>
      <c r="K215" s="12">
        <f>ROUND(G215*5%,)</f>
        <v>27820</v>
      </c>
      <c r="L215" s="37"/>
      <c r="M215" s="12"/>
      <c r="N215" s="18">
        <f>H215</f>
        <v>100153</v>
      </c>
      <c r="O215" s="12"/>
      <c r="P215" s="12">
        <f>G215-J215-K215-O215-M215</f>
        <v>523019.49</v>
      </c>
      <c r="Q215" s="170"/>
      <c r="R215" s="37"/>
      <c r="S215" s="37"/>
      <c r="T215" s="40">
        <v>200000</v>
      </c>
      <c r="U215" s="113">
        <v>198000</v>
      </c>
      <c r="V215" s="15" t="s">
        <v>642</v>
      </c>
      <c r="W215" s="37"/>
    </row>
    <row r="216" spans="1:60" s="29" customFormat="1" x14ac:dyDescent="0.25">
      <c r="A216" s="17"/>
      <c r="B216" s="31" t="s">
        <v>114</v>
      </c>
      <c r="C216" s="22"/>
      <c r="D216" s="32">
        <v>60</v>
      </c>
      <c r="E216" s="12">
        <f>N215</f>
        <v>100153</v>
      </c>
      <c r="F216" s="12"/>
      <c r="G216" s="12"/>
      <c r="H216" s="12"/>
      <c r="I216" s="12"/>
      <c r="J216" s="12"/>
      <c r="K216" s="12"/>
      <c r="L216" s="37"/>
      <c r="M216" s="12"/>
      <c r="N216" s="12"/>
      <c r="O216" s="12"/>
      <c r="P216" s="12">
        <f>E216</f>
        <v>100153</v>
      </c>
      <c r="Q216" s="170"/>
      <c r="R216" s="37"/>
      <c r="S216" s="37"/>
      <c r="T216" s="40">
        <v>300000</v>
      </c>
      <c r="U216" s="113">
        <v>297000</v>
      </c>
      <c r="V216" s="15" t="s">
        <v>702</v>
      </c>
      <c r="W216" s="37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</row>
    <row r="217" spans="1:60" x14ac:dyDescent="0.25">
      <c r="A217" s="17"/>
      <c r="B217" s="31" t="s">
        <v>772</v>
      </c>
      <c r="C217" s="22">
        <v>45471</v>
      </c>
      <c r="D217" s="32">
        <v>3</v>
      </c>
      <c r="E217" s="12">
        <v>-35884.370000000003</v>
      </c>
      <c r="F217" s="12"/>
      <c r="G217" s="12">
        <v>35884.370000000003</v>
      </c>
      <c r="H217" s="12">
        <v>6459.18</v>
      </c>
      <c r="I217" s="12">
        <v>42343.55</v>
      </c>
      <c r="J217" s="12"/>
      <c r="K217" s="12"/>
      <c r="L217" s="37"/>
      <c r="M217" s="12"/>
      <c r="N217" s="12">
        <v>6459.018</v>
      </c>
      <c r="O217" s="12"/>
      <c r="P217" s="12">
        <v>42343.55</v>
      </c>
      <c r="Q217" s="170"/>
      <c r="R217" s="37"/>
      <c r="S217" s="37"/>
      <c r="T217" s="37"/>
      <c r="U217" s="181"/>
      <c r="V217" s="14"/>
      <c r="W217" s="37"/>
    </row>
    <row r="218" spans="1:60" x14ac:dyDescent="0.25">
      <c r="A218" s="295">
        <v>58889</v>
      </c>
      <c r="B218" s="299"/>
      <c r="C218" s="297"/>
      <c r="D218" s="298"/>
      <c r="E218" s="299"/>
      <c r="F218" s="299"/>
      <c r="G218" s="299"/>
      <c r="H218" s="299"/>
      <c r="I218" s="299"/>
      <c r="J218" s="299"/>
      <c r="K218" s="299"/>
      <c r="L218" s="299"/>
      <c r="M218" s="299"/>
      <c r="N218" s="259"/>
      <c r="O218" s="259"/>
      <c r="P218" s="299"/>
      <c r="Q218" s="300">
        <f>A218</f>
        <v>58889</v>
      </c>
      <c r="R218" s="259"/>
      <c r="S218" s="259"/>
      <c r="T218" s="259"/>
      <c r="U218" s="260"/>
      <c r="V218" s="261"/>
      <c r="W218" s="259"/>
    </row>
    <row r="219" spans="1:60" x14ac:dyDescent="0.25">
      <c r="A219" s="17">
        <v>3150000</v>
      </c>
      <c r="B219" s="31" t="s">
        <v>346</v>
      </c>
      <c r="C219" s="22">
        <v>45342</v>
      </c>
      <c r="D219" s="32" t="s">
        <v>420</v>
      </c>
      <c r="E219" s="12">
        <f>3150000*25%</f>
        <v>787500</v>
      </c>
      <c r="F219" s="12">
        <v>79800</v>
      </c>
      <c r="G219" s="220">
        <f>E219-F219</f>
        <v>707700</v>
      </c>
      <c r="H219" s="220">
        <f>ROUND(G219*18%,)</f>
        <v>127386</v>
      </c>
      <c r="I219" s="12">
        <f>G219+H219</f>
        <v>835086</v>
      </c>
      <c r="J219" s="37">
        <f>G219*1%</f>
        <v>7077</v>
      </c>
      <c r="K219" s="37">
        <f>G219*5%</f>
        <v>35385</v>
      </c>
      <c r="L219" s="37"/>
      <c r="M219" s="12">
        <f>G219*10%</f>
        <v>70770</v>
      </c>
      <c r="N219" s="227">
        <f>H219</f>
        <v>127386</v>
      </c>
      <c r="O219" s="12"/>
      <c r="P219" s="12">
        <f>I219-SUM(J219:N219)</f>
        <v>594468</v>
      </c>
      <c r="Q219" s="174"/>
      <c r="R219" s="37">
        <v>3150000</v>
      </c>
      <c r="S219" s="12">
        <f>R219-SUM(T219:T226)</f>
        <v>-350000</v>
      </c>
      <c r="T219" s="40">
        <v>200000</v>
      </c>
      <c r="U219" s="113">
        <f>T219-1%*T219</f>
        <v>198000</v>
      </c>
      <c r="V219" s="15" t="s">
        <v>136</v>
      </c>
      <c r="W219" s="12">
        <f>SUM(P219:P226)-SUM(U219:U226)</f>
        <v>-1032050.44</v>
      </c>
    </row>
    <row r="220" spans="1:60" x14ac:dyDescent="0.25">
      <c r="A220" s="17"/>
      <c r="B220" s="31" t="s">
        <v>346</v>
      </c>
      <c r="C220" s="22">
        <v>45358</v>
      </c>
      <c r="D220" s="32" t="s">
        <v>437</v>
      </c>
      <c r="E220" s="12">
        <v>472500</v>
      </c>
      <c r="F220" s="12">
        <v>159797</v>
      </c>
      <c r="G220" s="220">
        <f>E220-F220</f>
        <v>312703</v>
      </c>
      <c r="H220" s="220">
        <f>ROUND(G220*18%,)</f>
        <v>56287</v>
      </c>
      <c r="I220" s="12">
        <f>G220+H220</f>
        <v>368990</v>
      </c>
      <c r="J220" s="37">
        <f>G220*1%</f>
        <v>3127.03</v>
      </c>
      <c r="K220" s="37">
        <f>G220*5%</f>
        <v>15635.150000000001</v>
      </c>
      <c r="L220" s="37"/>
      <c r="M220" s="12">
        <f>G220*10%</f>
        <v>31270.300000000003</v>
      </c>
      <c r="N220" s="227">
        <f>H220</f>
        <v>56287</v>
      </c>
      <c r="O220" s="12">
        <v>63000</v>
      </c>
      <c r="P220" s="12">
        <f>I220-SUM(J220:O220)</f>
        <v>199670.52</v>
      </c>
      <c r="Q220" s="174"/>
      <c r="R220" s="37"/>
      <c r="S220" s="37"/>
      <c r="T220" s="40">
        <v>300000</v>
      </c>
      <c r="U220" s="113">
        <f>T220-1%*T220</f>
        <v>297000</v>
      </c>
      <c r="V220" s="15" t="s">
        <v>167</v>
      </c>
      <c r="W220" s="37"/>
    </row>
    <row r="221" spans="1:60" x14ac:dyDescent="0.25">
      <c r="A221" s="17"/>
      <c r="B221" s="31" t="s">
        <v>346</v>
      </c>
      <c r="C221" s="22">
        <v>45534</v>
      </c>
      <c r="D221" s="32">
        <v>75</v>
      </c>
      <c r="E221" s="12">
        <v>1417500</v>
      </c>
      <c r="F221" s="12">
        <v>229238</v>
      </c>
      <c r="G221" s="220">
        <f>E221-F221</f>
        <v>1188262</v>
      </c>
      <c r="H221" s="220">
        <f>ROUND(G221*18%,)</f>
        <v>213887</v>
      </c>
      <c r="I221" s="12">
        <f>G221+H221</f>
        <v>1402149</v>
      </c>
      <c r="J221" s="37">
        <f>G221*1%</f>
        <v>11882.62</v>
      </c>
      <c r="K221" s="37">
        <f>G221*5%</f>
        <v>59413.100000000006</v>
      </c>
      <c r="L221" s="37"/>
      <c r="M221" s="12"/>
      <c r="N221" s="18">
        <f>H221</f>
        <v>213887</v>
      </c>
      <c r="O221" s="12">
        <f>G221*2%</f>
        <v>23765.24</v>
      </c>
      <c r="P221" s="12">
        <f>I221-SUM(J221:O221)</f>
        <v>1093201.04</v>
      </c>
      <c r="Q221" s="174"/>
      <c r="R221" s="37"/>
      <c r="S221" s="37"/>
      <c r="T221" s="40">
        <v>300000</v>
      </c>
      <c r="U221" s="113">
        <f>T221-1%*T221</f>
        <v>297000</v>
      </c>
      <c r="V221" s="15" t="s">
        <v>175</v>
      </c>
      <c r="W221" s="37"/>
    </row>
    <row r="222" spans="1:60" x14ac:dyDescent="0.25">
      <c r="A222" s="17"/>
      <c r="B222" s="31" t="s">
        <v>575</v>
      </c>
      <c r="C222" s="22"/>
      <c r="D222" s="32" t="s">
        <v>658</v>
      </c>
      <c r="E222" s="12">
        <f>N219+N220+N221</f>
        <v>397560</v>
      </c>
      <c r="F222" s="12"/>
      <c r="G222" s="12"/>
      <c r="H222" s="12"/>
      <c r="I222" s="12"/>
      <c r="J222" s="12"/>
      <c r="K222" s="12"/>
      <c r="L222" s="12"/>
      <c r="M222" s="12"/>
      <c r="N222" s="37"/>
      <c r="O222" s="37"/>
      <c r="P222" s="12">
        <f>E222</f>
        <v>397560</v>
      </c>
      <c r="Q222" s="174"/>
      <c r="R222" s="37"/>
      <c r="S222" s="37"/>
      <c r="T222" s="40">
        <v>500000</v>
      </c>
      <c r="U222" s="113">
        <v>495000</v>
      </c>
      <c r="V222" s="15" t="s">
        <v>535</v>
      </c>
      <c r="W222" s="37"/>
    </row>
    <row r="223" spans="1:60" x14ac:dyDescent="0.25">
      <c r="A223" s="17"/>
      <c r="B223" s="31" t="s">
        <v>346</v>
      </c>
      <c r="C223" s="22">
        <v>45711</v>
      </c>
      <c r="D223" s="32">
        <v>150</v>
      </c>
      <c r="E223" s="12">
        <v>157500</v>
      </c>
      <c r="F223" s="12">
        <v>0</v>
      </c>
      <c r="G223" s="220">
        <f>E223-F223</f>
        <v>157500</v>
      </c>
      <c r="H223" s="220">
        <f>ROUND(G223*18%,)</f>
        <v>28350</v>
      </c>
      <c r="I223" s="12">
        <f>G223+H223</f>
        <v>185850</v>
      </c>
      <c r="J223" s="37">
        <f>G223*1%</f>
        <v>1575</v>
      </c>
      <c r="K223" s="37">
        <f>G223*5%</f>
        <v>7875</v>
      </c>
      <c r="L223" s="37"/>
      <c r="M223" s="12"/>
      <c r="N223" s="18">
        <f>H223</f>
        <v>28350</v>
      </c>
      <c r="O223" s="12">
        <v>0</v>
      </c>
      <c r="P223" s="12">
        <f>I223-SUM(J223:O223)</f>
        <v>148050</v>
      </c>
      <c r="Q223" s="174"/>
      <c r="R223" s="37"/>
      <c r="S223" s="37"/>
      <c r="T223" s="40">
        <v>1000000</v>
      </c>
      <c r="U223" s="113">
        <v>990000</v>
      </c>
      <c r="V223" s="15" t="s">
        <v>546</v>
      </c>
      <c r="W223" s="37"/>
    </row>
    <row r="224" spans="1:60" x14ac:dyDescent="0.25">
      <c r="A224" s="17"/>
      <c r="B224" s="31"/>
      <c r="C224" s="22"/>
      <c r="D224" s="32"/>
      <c r="E224" s="12"/>
      <c r="F224" s="12"/>
      <c r="G224" s="12"/>
      <c r="H224" s="12"/>
      <c r="I224" s="12"/>
      <c r="J224" s="12"/>
      <c r="K224" s="12"/>
      <c r="L224" s="12"/>
      <c r="M224" s="12"/>
      <c r="N224" s="37"/>
      <c r="O224" s="37"/>
      <c r="P224" s="12"/>
      <c r="Q224" s="174"/>
      <c r="R224" s="37"/>
      <c r="S224" s="37"/>
      <c r="T224" s="40">
        <v>400000</v>
      </c>
      <c r="U224" s="113">
        <v>396000</v>
      </c>
      <c r="V224" s="15" t="s">
        <v>591</v>
      </c>
      <c r="W224" s="37"/>
    </row>
    <row r="225" spans="1:60" s="29" customFormat="1" x14ac:dyDescent="0.25">
      <c r="A225" s="17"/>
      <c r="B225" s="31"/>
      <c r="C225" s="22"/>
      <c r="D225" s="32"/>
      <c r="E225" s="12"/>
      <c r="F225" s="12"/>
      <c r="G225" s="12"/>
      <c r="H225" s="12"/>
      <c r="I225" s="12"/>
      <c r="J225" s="12"/>
      <c r="K225" s="12"/>
      <c r="L225" s="12"/>
      <c r="M225" s="12"/>
      <c r="N225" s="37"/>
      <c r="O225" s="37"/>
      <c r="P225" s="12"/>
      <c r="Q225" s="174"/>
      <c r="R225" s="37"/>
      <c r="S225" s="37"/>
      <c r="T225" s="40">
        <v>400000</v>
      </c>
      <c r="U225" s="113">
        <v>396000</v>
      </c>
      <c r="V225" s="15" t="s">
        <v>720</v>
      </c>
      <c r="W225" s="37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</row>
    <row r="226" spans="1:60" x14ac:dyDescent="0.25">
      <c r="A226" s="17"/>
      <c r="B226" s="31"/>
      <c r="C226" s="22"/>
      <c r="D226" s="32"/>
      <c r="E226" s="12"/>
      <c r="F226" s="12"/>
      <c r="G226" s="12"/>
      <c r="H226" s="12"/>
      <c r="I226" s="12"/>
      <c r="J226" s="12"/>
      <c r="K226" s="12"/>
      <c r="L226" s="12"/>
      <c r="M226" s="12"/>
      <c r="N226" s="37"/>
      <c r="O226" s="37"/>
      <c r="P226" s="12"/>
      <c r="Q226" s="174"/>
      <c r="R226" s="37"/>
      <c r="S226" s="37"/>
      <c r="T226" s="40">
        <v>400000</v>
      </c>
      <c r="U226" s="113">
        <v>396000</v>
      </c>
      <c r="V226" s="15" t="s">
        <v>729</v>
      </c>
      <c r="W226" s="37"/>
    </row>
    <row r="227" spans="1:60" s="25" customFormat="1" x14ac:dyDescent="0.25">
      <c r="A227" s="295">
        <v>58890</v>
      </c>
      <c r="B227" s="299"/>
      <c r="C227" s="297"/>
      <c r="D227" s="298"/>
      <c r="E227" s="299"/>
      <c r="F227" s="299"/>
      <c r="G227" s="299"/>
      <c r="H227" s="299"/>
      <c r="I227" s="299"/>
      <c r="J227" s="299"/>
      <c r="K227" s="299"/>
      <c r="L227" s="299"/>
      <c r="M227" s="299"/>
      <c r="N227" s="259"/>
      <c r="O227" s="259"/>
      <c r="P227" s="299"/>
      <c r="Q227" s="300">
        <f>A227</f>
        <v>58890</v>
      </c>
      <c r="R227" s="259"/>
      <c r="S227" s="259"/>
      <c r="T227" s="259"/>
      <c r="U227" s="260"/>
      <c r="V227" s="261"/>
      <c r="W227" s="261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</row>
    <row r="228" spans="1:60" x14ac:dyDescent="0.25">
      <c r="A228" s="17">
        <v>3330000</v>
      </c>
      <c r="B228" s="31" t="s">
        <v>323</v>
      </c>
      <c r="C228" s="22">
        <v>45356</v>
      </c>
      <c r="D228" s="32" t="s">
        <v>577</v>
      </c>
      <c r="E228" s="12">
        <f>3330000*25%</f>
        <v>832500</v>
      </c>
      <c r="F228" s="12">
        <v>0</v>
      </c>
      <c r="G228" s="220">
        <f>E228-F228</f>
        <v>832500</v>
      </c>
      <c r="H228" s="220">
        <f>ROUND(G228*18%,)</f>
        <v>149850</v>
      </c>
      <c r="I228" s="12">
        <f>G228+H228</f>
        <v>982350</v>
      </c>
      <c r="J228" s="37">
        <f>G228*1%</f>
        <v>8325</v>
      </c>
      <c r="K228" s="37">
        <f>G228*5%</f>
        <v>41625</v>
      </c>
      <c r="L228" s="37"/>
      <c r="M228" s="12">
        <f>G228*10%</f>
        <v>83250</v>
      </c>
      <c r="N228" s="227">
        <f>H228</f>
        <v>149850</v>
      </c>
      <c r="O228" s="12"/>
      <c r="P228" s="12">
        <f>I228-SUM(J228:N228)</f>
        <v>699300</v>
      </c>
      <c r="Q228" s="170"/>
      <c r="R228" s="37">
        <v>3330000</v>
      </c>
      <c r="S228" s="12">
        <f>R228-SUM(T228:T238)</f>
        <v>5000</v>
      </c>
      <c r="T228" s="40">
        <v>300000</v>
      </c>
      <c r="U228" s="113">
        <f>T228-1%*T228</f>
        <v>297000</v>
      </c>
      <c r="V228" s="15" t="s">
        <v>157</v>
      </c>
      <c r="W228" s="37"/>
    </row>
    <row r="229" spans="1:60" x14ac:dyDescent="0.25">
      <c r="A229" s="17"/>
      <c r="B229" s="31"/>
      <c r="C229" s="22">
        <v>45366</v>
      </c>
      <c r="D229" s="32" t="s">
        <v>436</v>
      </c>
      <c r="E229" s="12">
        <f>3330000*15%</f>
        <v>499500</v>
      </c>
      <c r="F229" s="12">
        <v>185675.82</v>
      </c>
      <c r="G229" s="220">
        <f>E229-F229</f>
        <v>313824.18</v>
      </c>
      <c r="H229" s="220">
        <f>ROUND(G229*18%,)</f>
        <v>56488</v>
      </c>
      <c r="I229" s="12">
        <f>G229+H229</f>
        <v>370312.18</v>
      </c>
      <c r="J229" s="12">
        <f>G229*[1]Sheet1!$J$5</f>
        <v>3138.2417999999998</v>
      </c>
      <c r="K229" s="12">
        <f>G229*5%</f>
        <v>15691.209000000001</v>
      </c>
      <c r="L229" s="37"/>
      <c r="M229" s="12">
        <f>G229*10%</f>
        <v>31382.418000000001</v>
      </c>
      <c r="N229" s="227">
        <f>H229</f>
        <v>56488</v>
      </c>
      <c r="O229" s="12">
        <v>92264</v>
      </c>
      <c r="P229" s="12">
        <f>ROUND(I229-SUM(J229:O229),)</f>
        <v>171348</v>
      </c>
      <c r="Q229" s="170"/>
      <c r="R229" s="37"/>
      <c r="S229" s="37"/>
      <c r="T229" s="40">
        <v>200000</v>
      </c>
      <c r="U229" s="113">
        <f t="shared" ref="U229:U233" si="50">T229-1%*T229</f>
        <v>198000</v>
      </c>
      <c r="V229" s="15" t="s">
        <v>158</v>
      </c>
      <c r="W229" s="12">
        <f>SUM(P228:P238)-SUM(U228:U238)</f>
        <v>-829901.38079999993</v>
      </c>
    </row>
    <row r="230" spans="1:60" x14ac:dyDescent="0.25">
      <c r="A230" s="17"/>
      <c r="B230" s="31"/>
      <c r="C230" s="22">
        <v>45325</v>
      </c>
      <c r="D230" s="32">
        <v>182</v>
      </c>
      <c r="E230" s="12">
        <f>3330000*15%</f>
        <v>499500</v>
      </c>
      <c r="F230" s="12">
        <v>0</v>
      </c>
      <c r="G230" s="220">
        <f>E230-F230</f>
        <v>499500</v>
      </c>
      <c r="H230" s="220">
        <f>ROUND(G230*18%,)</f>
        <v>89910</v>
      </c>
      <c r="I230" s="12">
        <f>G230+H230</f>
        <v>589410</v>
      </c>
      <c r="J230" s="12">
        <f>G230*[1]Sheet1!$J$5</f>
        <v>4995</v>
      </c>
      <c r="K230" s="12">
        <f>G230*5%</f>
        <v>24975</v>
      </c>
      <c r="L230" s="37"/>
      <c r="M230" s="12">
        <v>0</v>
      </c>
      <c r="N230" s="227">
        <f>H230</f>
        <v>89910</v>
      </c>
      <c r="O230" s="12">
        <v>0</v>
      </c>
      <c r="P230" s="12">
        <f>ROUND(I230-SUM(J230:O230),)</f>
        <v>469530</v>
      </c>
      <c r="Q230" s="170"/>
      <c r="R230" s="37"/>
      <c r="S230" s="37"/>
      <c r="T230" s="40">
        <v>300000</v>
      </c>
      <c r="U230" s="113">
        <f t="shared" si="50"/>
        <v>297000</v>
      </c>
      <c r="V230" s="15" t="s">
        <v>177</v>
      </c>
      <c r="W230" s="37"/>
    </row>
    <row r="231" spans="1:60" x14ac:dyDescent="0.25">
      <c r="A231" s="17"/>
      <c r="B231" s="31"/>
      <c r="C231" s="22">
        <v>45534</v>
      </c>
      <c r="D231" s="32">
        <v>73</v>
      </c>
      <c r="E231" s="12">
        <v>1035711</v>
      </c>
      <c r="F231" s="12">
        <v>265948.84000000003</v>
      </c>
      <c r="G231" s="220">
        <f>E231-F231</f>
        <v>769762.15999999992</v>
      </c>
      <c r="H231" s="220">
        <f>G231*18%</f>
        <v>138557.18879999997</v>
      </c>
      <c r="I231" s="12">
        <f>G231+H231</f>
        <v>908319.34879999992</v>
      </c>
      <c r="J231" s="12">
        <f>G231*1%</f>
        <v>7697.6215999999995</v>
      </c>
      <c r="K231" s="12">
        <f>G231*5%</f>
        <v>38488.108</v>
      </c>
      <c r="L231" s="12"/>
      <c r="M231" s="12"/>
      <c r="N231" s="18">
        <f>G231*18%</f>
        <v>138557.18879999997</v>
      </c>
      <c r="O231" s="12">
        <v>36711</v>
      </c>
      <c r="P231" s="12">
        <f>I231-SUM(J231:O231)</f>
        <v>686865.43039999995</v>
      </c>
      <c r="Q231" s="170"/>
      <c r="R231" s="37"/>
      <c r="S231" s="37"/>
      <c r="T231" s="40">
        <v>250000</v>
      </c>
      <c r="U231" s="113">
        <f t="shared" si="50"/>
        <v>247500</v>
      </c>
      <c r="V231" s="15" t="s">
        <v>182</v>
      </c>
      <c r="W231" s="37"/>
    </row>
    <row r="232" spans="1:60" x14ac:dyDescent="0.25">
      <c r="A232" s="17"/>
      <c r="B232" s="31" t="s">
        <v>575</v>
      </c>
      <c r="C232" s="22"/>
      <c r="D232" s="32" t="s">
        <v>656</v>
      </c>
      <c r="E232" s="12">
        <f>N228+N229+N230+N231</f>
        <v>434805.1888</v>
      </c>
      <c r="F232" s="12"/>
      <c r="G232" s="12"/>
      <c r="H232" s="12"/>
      <c r="I232" s="12"/>
      <c r="J232" s="12"/>
      <c r="K232" s="12"/>
      <c r="L232" s="12"/>
      <c r="M232" s="12"/>
      <c r="N232" s="37"/>
      <c r="O232" s="37"/>
      <c r="P232" s="12">
        <f>E232</f>
        <v>434805.1888</v>
      </c>
      <c r="Q232" s="170"/>
      <c r="R232" s="37"/>
      <c r="S232" s="37"/>
      <c r="T232" s="40">
        <v>100000</v>
      </c>
      <c r="U232" s="113">
        <f t="shared" si="50"/>
        <v>99000</v>
      </c>
      <c r="V232" s="15" t="s">
        <v>322</v>
      </c>
      <c r="W232" s="37"/>
    </row>
    <row r="233" spans="1:60" x14ac:dyDescent="0.25">
      <c r="A233" s="17"/>
      <c r="B233" s="31"/>
      <c r="C233" s="22"/>
      <c r="D233" s="32"/>
      <c r="E233" s="12"/>
      <c r="F233" s="12"/>
      <c r="G233" s="12"/>
      <c r="H233" s="12"/>
      <c r="I233" s="12"/>
      <c r="J233" s="12"/>
      <c r="K233" s="12"/>
      <c r="L233" s="12"/>
      <c r="M233" s="12"/>
      <c r="N233" s="37"/>
      <c r="O233" s="37"/>
      <c r="P233" s="12"/>
      <c r="Q233" s="170"/>
      <c r="R233" s="37"/>
      <c r="S233" s="37"/>
      <c r="T233" s="40">
        <v>500000</v>
      </c>
      <c r="U233" s="113">
        <f t="shared" si="50"/>
        <v>495000</v>
      </c>
      <c r="V233" s="15" t="s">
        <v>353</v>
      </c>
      <c r="W233" s="37"/>
    </row>
    <row r="234" spans="1:60" x14ac:dyDescent="0.25">
      <c r="A234" s="17"/>
      <c r="B234" s="31"/>
      <c r="C234" s="22"/>
      <c r="D234" s="32"/>
      <c r="E234" s="12"/>
      <c r="F234" s="12"/>
      <c r="G234" s="12"/>
      <c r="H234" s="12"/>
      <c r="I234" s="12"/>
      <c r="J234" s="12"/>
      <c r="K234" s="12"/>
      <c r="L234" s="12"/>
      <c r="M234" s="12"/>
      <c r="N234" s="37"/>
      <c r="O234" s="37"/>
      <c r="P234" s="12"/>
      <c r="Q234" s="170"/>
      <c r="R234" s="37"/>
      <c r="S234" s="37"/>
      <c r="T234" s="40">
        <v>500000</v>
      </c>
      <c r="U234" s="113">
        <v>495000</v>
      </c>
      <c r="V234" s="15" t="s">
        <v>513</v>
      </c>
      <c r="W234" s="37"/>
    </row>
    <row r="235" spans="1:60" x14ac:dyDescent="0.25">
      <c r="A235" s="17"/>
      <c r="B235" s="31"/>
      <c r="C235" s="22"/>
      <c r="D235" s="32"/>
      <c r="E235" s="12"/>
      <c r="F235" s="12"/>
      <c r="G235" s="12"/>
      <c r="H235" s="12"/>
      <c r="I235" s="12"/>
      <c r="J235" s="12"/>
      <c r="K235" s="12"/>
      <c r="L235" s="12"/>
      <c r="M235" s="12"/>
      <c r="N235" s="37"/>
      <c r="O235" s="37"/>
      <c r="P235" s="12"/>
      <c r="Q235" s="170"/>
      <c r="R235" s="37"/>
      <c r="S235" s="37"/>
      <c r="T235" s="40">
        <v>500000</v>
      </c>
      <c r="U235" s="113">
        <v>495000</v>
      </c>
      <c r="V235" s="225" t="s">
        <v>550</v>
      </c>
      <c r="W235" s="37"/>
    </row>
    <row r="236" spans="1:60" x14ac:dyDescent="0.25">
      <c r="A236" s="17"/>
      <c r="B236" s="31"/>
      <c r="C236" s="22"/>
      <c r="D236" s="32"/>
      <c r="E236" s="12"/>
      <c r="F236" s="12"/>
      <c r="G236" s="12"/>
      <c r="H236" s="12"/>
      <c r="I236" s="12"/>
      <c r="J236" s="12"/>
      <c r="K236" s="12"/>
      <c r="L236" s="12"/>
      <c r="M236" s="12"/>
      <c r="N236" s="37"/>
      <c r="O236" s="37"/>
      <c r="P236" s="12"/>
      <c r="Q236" s="170"/>
      <c r="R236" s="37"/>
      <c r="S236" s="37"/>
      <c r="T236" s="40">
        <v>500000</v>
      </c>
      <c r="U236" s="113">
        <v>495000</v>
      </c>
      <c r="V236" s="225" t="s">
        <v>551</v>
      </c>
      <c r="W236" s="37"/>
    </row>
    <row r="237" spans="1:60" s="29" customFormat="1" x14ac:dyDescent="0.25">
      <c r="A237" s="17"/>
      <c r="B237" s="31"/>
      <c r="C237" s="22"/>
      <c r="D237" s="32"/>
      <c r="E237" s="12"/>
      <c r="F237" s="12"/>
      <c r="G237" s="12"/>
      <c r="H237" s="12"/>
      <c r="I237" s="12"/>
      <c r="J237" s="12"/>
      <c r="K237" s="12"/>
      <c r="L237" s="12"/>
      <c r="M237" s="12"/>
      <c r="N237" s="37"/>
      <c r="O237" s="37"/>
      <c r="P237" s="12"/>
      <c r="Q237" s="170"/>
      <c r="R237" s="37"/>
      <c r="S237" s="37"/>
      <c r="T237" s="40">
        <v>100000</v>
      </c>
      <c r="U237" s="113">
        <v>99000</v>
      </c>
      <c r="V237" s="225" t="s">
        <v>708</v>
      </c>
      <c r="W237" s="37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  <c r="AZ237" s="13"/>
      <c r="BA237" s="13"/>
      <c r="BB237" s="13"/>
      <c r="BC237" s="13"/>
      <c r="BD237" s="13"/>
      <c r="BE237" s="13"/>
      <c r="BF237" s="13"/>
      <c r="BG237" s="13"/>
      <c r="BH237" s="13"/>
    </row>
    <row r="238" spans="1:60" x14ac:dyDescent="0.25">
      <c r="A238" s="17"/>
      <c r="B238" s="31"/>
      <c r="C238" s="22"/>
      <c r="D238" s="32"/>
      <c r="E238" s="12"/>
      <c r="F238" s="12"/>
      <c r="G238" s="12"/>
      <c r="H238" s="12"/>
      <c r="I238" s="12"/>
      <c r="J238" s="12"/>
      <c r="K238" s="12"/>
      <c r="L238" s="12"/>
      <c r="M238" s="12"/>
      <c r="N238" s="37"/>
      <c r="O238" s="37"/>
      <c r="P238" s="12"/>
      <c r="Q238" s="170"/>
      <c r="R238" s="37"/>
      <c r="S238" s="37"/>
      <c r="T238" s="40">
        <v>75000</v>
      </c>
      <c r="U238" s="113">
        <v>74250</v>
      </c>
      <c r="V238" s="225" t="s">
        <v>723</v>
      </c>
      <c r="W238" s="37"/>
    </row>
    <row r="239" spans="1:60" x14ac:dyDescent="0.25">
      <c r="A239" s="295">
        <v>59049</v>
      </c>
      <c r="B239" s="296"/>
      <c r="C239" s="297"/>
      <c r="D239" s="298"/>
      <c r="E239" s="299"/>
      <c r="F239" s="299"/>
      <c r="G239" s="299"/>
      <c r="H239" s="299"/>
      <c r="I239" s="299"/>
      <c r="J239" s="259"/>
      <c r="K239" s="259"/>
      <c r="L239" s="259"/>
      <c r="M239" s="299"/>
      <c r="N239" s="299"/>
      <c r="O239" s="299"/>
      <c r="P239" s="299"/>
      <c r="Q239" s="300">
        <f>A239</f>
        <v>59049</v>
      </c>
      <c r="R239" s="259"/>
      <c r="S239" s="259"/>
      <c r="T239" s="259"/>
      <c r="U239" s="260"/>
      <c r="V239" s="261"/>
      <c r="W239" s="261"/>
    </row>
    <row r="240" spans="1:60" x14ac:dyDescent="0.25">
      <c r="A240" s="17">
        <v>2475000</v>
      </c>
      <c r="B240" s="31" t="s">
        <v>321</v>
      </c>
      <c r="C240" s="22">
        <v>45356</v>
      </c>
      <c r="D240" s="32" t="s">
        <v>447</v>
      </c>
      <c r="E240" s="12">
        <f>2475000*20%</f>
        <v>495000</v>
      </c>
      <c r="F240" s="12">
        <v>209096</v>
      </c>
      <c r="G240" s="220">
        <f>E240-F240</f>
        <v>285904</v>
      </c>
      <c r="H240" s="220">
        <f>ROUND(G240*18%,)</f>
        <v>51463</v>
      </c>
      <c r="I240" s="12">
        <f>G240+H240</f>
        <v>337367</v>
      </c>
      <c r="J240" s="37">
        <f>G240*1%</f>
        <v>2859.04</v>
      </c>
      <c r="K240" s="37">
        <f>G240*5%</f>
        <v>14295.2</v>
      </c>
      <c r="L240" s="12"/>
      <c r="M240" s="12">
        <f>G240*10%</f>
        <v>28590.400000000001</v>
      </c>
      <c r="N240" s="227">
        <f>H240</f>
        <v>51463</v>
      </c>
      <c r="O240" s="37"/>
      <c r="P240" s="12">
        <f t="shared" ref="P240:P242" si="51">I240-SUM(J240:O240)</f>
        <v>240159.35999999999</v>
      </c>
      <c r="Q240" s="174"/>
      <c r="R240" s="37">
        <v>2475000</v>
      </c>
      <c r="S240" s="12">
        <f>R241-SUM(T240:T245)</f>
        <v>51250</v>
      </c>
      <c r="T240" s="40">
        <v>500000</v>
      </c>
      <c r="U240" s="113">
        <f>T240-1%*T240</f>
        <v>495000</v>
      </c>
      <c r="V240" s="15" t="s">
        <v>169</v>
      </c>
      <c r="W240" s="37"/>
    </row>
    <row r="241" spans="1:60" x14ac:dyDescent="0.25">
      <c r="A241" s="17">
        <f>A240*95%</f>
        <v>2351250</v>
      </c>
      <c r="B241" s="31"/>
      <c r="C241" s="22">
        <v>45377</v>
      </c>
      <c r="D241" s="32" t="s">
        <v>433</v>
      </c>
      <c r="E241" s="12">
        <v>371250</v>
      </c>
      <c r="F241" s="12">
        <v>162287</v>
      </c>
      <c r="G241" s="220">
        <f>E241-F241</f>
        <v>208963</v>
      </c>
      <c r="H241" s="220">
        <f>ROUND(G241*18%,)</f>
        <v>37613</v>
      </c>
      <c r="I241" s="12">
        <f>G241+H241</f>
        <v>246576</v>
      </c>
      <c r="J241" s="37">
        <f>G241*1%</f>
        <v>2089.63</v>
      </c>
      <c r="K241" s="37">
        <f>G241*5%</f>
        <v>10448.150000000001</v>
      </c>
      <c r="L241" s="12"/>
      <c r="M241" s="12">
        <f>G241*10%</f>
        <v>20896.300000000003</v>
      </c>
      <c r="N241" s="227">
        <f>H241</f>
        <v>37613</v>
      </c>
      <c r="O241" s="37"/>
      <c r="P241" s="12">
        <f t="shared" si="51"/>
        <v>175528.91999999998</v>
      </c>
      <c r="Q241" s="174"/>
      <c r="R241" s="37">
        <f>R240*95%</f>
        <v>2351250</v>
      </c>
      <c r="S241" s="37"/>
      <c r="T241" s="40">
        <v>300000</v>
      </c>
      <c r="U241" s="113">
        <v>297000</v>
      </c>
      <c r="V241" s="15" t="s">
        <v>347</v>
      </c>
      <c r="W241" s="12">
        <f>SUM(P240:P245)-SUM(U240:U245)</f>
        <v>-531280.33630000008</v>
      </c>
    </row>
    <row r="242" spans="1:60" x14ac:dyDescent="0.25">
      <c r="A242" s="17"/>
      <c r="B242" s="31"/>
      <c r="C242" s="22">
        <v>45534</v>
      </c>
      <c r="D242" s="32">
        <v>57</v>
      </c>
      <c r="E242" s="12">
        <v>1361250</v>
      </c>
      <c r="F242" s="12">
        <v>179387.49</v>
      </c>
      <c r="G242" s="220">
        <f>E242-F242</f>
        <v>1181862.51</v>
      </c>
      <c r="H242" s="220">
        <f>ROUND(G242*18%,)</f>
        <v>212735</v>
      </c>
      <c r="I242" s="12">
        <f>G242+H242</f>
        <v>1394597.51</v>
      </c>
      <c r="J242" s="37">
        <f>G242*1%</f>
        <v>11818.625100000001</v>
      </c>
      <c r="K242" s="37">
        <f>G242*5%</f>
        <v>59093.125500000002</v>
      </c>
      <c r="L242" s="12"/>
      <c r="M242" s="12"/>
      <c r="N242" s="18">
        <f>H242</f>
        <v>212735</v>
      </c>
      <c r="O242" s="37">
        <f>G242*7%</f>
        <v>82730.375700000004</v>
      </c>
      <c r="P242" s="12">
        <f t="shared" si="51"/>
        <v>1028220.3837</v>
      </c>
      <c r="Q242" s="174"/>
      <c r="R242" s="37"/>
      <c r="S242" s="37"/>
      <c r="T242" s="40">
        <v>500000</v>
      </c>
      <c r="U242" s="113">
        <v>495000</v>
      </c>
      <c r="V242" s="15" t="s">
        <v>514</v>
      </c>
      <c r="W242" s="37"/>
    </row>
    <row r="243" spans="1:60" ht="30" x14ac:dyDescent="0.25">
      <c r="A243" s="17"/>
      <c r="B243" s="31" t="s">
        <v>575</v>
      </c>
      <c r="C243" s="22"/>
      <c r="D243" s="32" t="s">
        <v>784</v>
      </c>
      <c r="E243" s="12">
        <f>N240+N241+N242</f>
        <v>301811</v>
      </c>
      <c r="F243" s="12"/>
      <c r="G243" s="12"/>
      <c r="H243" s="12"/>
      <c r="I243" s="12"/>
      <c r="J243" s="12"/>
      <c r="K243" s="12"/>
      <c r="L243" s="12"/>
      <c r="M243" s="12"/>
      <c r="N243" s="37"/>
      <c r="O243" s="37"/>
      <c r="P243" s="12">
        <f>E243</f>
        <v>301811</v>
      </c>
      <c r="Q243" s="174"/>
      <c r="R243" s="37"/>
      <c r="S243" s="37"/>
      <c r="T243" s="40">
        <v>500000</v>
      </c>
      <c r="U243" s="113">
        <v>495000</v>
      </c>
      <c r="V243" s="225" t="s">
        <v>540</v>
      </c>
      <c r="W243" s="37"/>
    </row>
    <row r="244" spans="1:60" s="29" customFormat="1" x14ac:dyDescent="0.25">
      <c r="A244" s="17"/>
      <c r="B244" s="31"/>
      <c r="C244" s="22"/>
      <c r="D244" s="32"/>
      <c r="E244" s="12"/>
      <c r="F244" s="12"/>
      <c r="G244" s="12"/>
      <c r="H244" s="12"/>
      <c r="I244" s="12"/>
      <c r="J244" s="12"/>
      <c r="K244" s="12"/>
      <c r="L244" s="12"/>
      <c r="M244" s="12"/>
      <c r="N244" s="37"/>
      <c r="O244" s="37"/>
      <c r="P244" s="12"/>
      <c r="Q244" s="174"/>
      <c r="R244" s="37"/>
      <c r="S244" s="37"/>
      <c r="T244" s="40">
        <v>200000</v>
      </c>
      <c r="U244" s="113">
        <v>198000</v>
      </c>
      <c r="V244" s="225" t="s">
        <v>590</v>
      </c>
      <c r="W244" s="37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  <c r="BE244" s="13"/>
      <c r="BF244" s="13"/>
      <c r="BG244" s="13"/>
      <c r="BH244" s="13"/>
    </row>
    <row r="245" spans="1:60" x14ac:dyDescent="0.25">
      <c r="A245" s="17"/>
      <c r="B245" s="31"/>
      <c r="C245" s="22"/>
      <c r="D245" s="32"/>
      <c r="E245" s="12"/>
      <c r="F245" s="12"/>
      <c r="G245" s="12"/>
      <c r="H245" s="12"/>
      <c r="I245" s="12"/>
      <c r="J245" s="12"/>
      <c r="K245" s="12"/>
      <c r="L245" s="12"/>
      <c r="M245" s="12"/>
      <c r="N245" s="37"/>
      <c r="O245" s="37"/>
      <c r="P245" s="12"/>
      <c r="Q245" s="174"/>
      <c r="R245" s="37"/>
      <c r="S245" s="37"/>
      <c r="T245" s="40">
        <v>300000</v>
      </c>
      <c r="U245" s="113">
        <v>297000</v>
      </c>
      <c r="V245" s="225" t="s">
        <v>713</v>
      </c>
      <c r="W245" s="37"/>
    </row>
    <row r="246" spans="1:60" x14ac:dyDescent="0.25">
      <c r="A246" s="295">
        <v>59050</v>
      </c>
      <c r="B246" s="296"/>
      <c r="C246" s="297"/>
      <c r="D246" s="298"/>
      <c r="E246" s="299"/>
      <c r="F246" s="299"/>
      <c r="G246" s="299"/>
      <c r="H246" s="299"/>
      <c r="I246" s="299"/>
      <c r="J246" s="259"/>
      <c r="K246" s="259"/>
      <c r="L246" s="299"/>
      <c r="M246" s="299"/>
      <c r="N246" s="259"/>
      <c r="O246" s="259"/>
      <c r="P246" s="299"/>
      <c r="Q246" s="300">
        <f>A246</f>
        <v>59050</v>
      </c>
      <c r="R246" s="259"/>
      <c r="S246" s="259"/>
      <c r="T246" s="259"/>
      <c r="U246" s="336"/>
      <c r="V246" s="261"/>
      <c r="W246" s="261"/>
    </row>
    <row r="247" spans="1:60" x14ac:dyDescent="0.25">
      <c r="A247" s="17">
        <v>2850000</v>
      </c>
      <c r="B247" s="31" t="s">
        <v>320</v>
      </c>
      <c r="C247" s="22">
        <v>45357</v>
      </c>
      <c r="D247" s="32" t="s">
        <v>422</v>
      </c>
      <c r="E247" s="12">
        <f>2850000*25%</f>
        <v>712500</v>
      </c>
      <c r="F247" s="12">
        <v>204699.87</v>
      </c>
      <c r="G247" s="220">
        <f>E247-F247</f>
        <v>507800.13</v>
      </c>
      <c r="H247" s="220">
        <f>ROUND(G247*18%,)</f>
        <v>91404</v>
      </c>
      <c r="I247" s="12">
        <f>G247+H247</f>
        <v>599204.13</v>
      </c>
      <c r="J247" s="12">
        <f>ROUND(G247*$J$5,)</f>
        <v>5078</v>
      </c>
      <c r="K247" s="12">
        <f>ROUND(G247*$K$5,)</f>
        <v>25390</v>
      </c>
      <c r="L247" s="37"/>
      <c r="M247" s="12">
        <f>G247*10%</f>
        <v>50780.013000000006</v>
      </c>
      <c r="N247" s="12">
        <f>H247</f>
        <v>91404</v>
      </c>
      <c r="O247" s="12"/>
      <c r="P247" s="12">
        <f>I247-SUM(J247:O247)</f>
        <v>426552.11699999997</v>
      </c>
      <c r="Q247" s="174"/>
      <c r="R247" s="12">
        <v>2850000</v>
      </c>
      <c r="S247" s="12">
        <f>R247-SUM(T247:T253)</f>
        <v>-350000</v>
      </c>
      <c r="T247" s="40">
        <v>400000</v>
      </c>
      <c r="U247" s="226">
        <v>396000</v>
      </c>
      <c r="V247" s="15" t="s">
        <v>207</v>
      </c>
      <c r="W247" s="37"/>
    </row>
    <row r="248" spans="1:60" x14ac:dyDescent="0.25">
      <c r="A248" s="17"/>
      <c r="B248" s="31" t="s">
        <v>575</v>
      </c>
      <c r="C248" s="22"/>
      <c r="D248" s="32">
        <v>225</v>
      </c>
      <c r="E248" s="12">
        <f>N247</f>
        <v>91404</v>
      </c>
      <c r="F248" s="12"/>
      <c r="G248" s="12"/>
      <c r="H248" s="12"/>
      <c r="I248" s="12"/>
      <c r="J248" s="12"/>
      <c r="K248" s="12"/>
      <c r="L248" s="12"/>
      <c r="M248" s="12"/>
      <c r="N248" s="37"/>
      <c r="O248" s="37"/>
      <c r="P248" s="12">
        <f>E248</f>
        <v>91404</v>
      </c>
      <c r="Q248" s="174"/>
      <c r="R248" s="12"/>
      <c r="S248" s="12"/>
      <c r="T248" s="40">
        <v>500000</v>
      </c>
      <c r="U248" s="226">
        <v>495000</v>
      </c>
      <c r="V248" s="15" t="s">
        <v>356</v>
      </c>
      <c r="W248" s="12">
        <f>SUM(P247:P253)-SUM(U247:U253)</f>
        <v>-654305.02400000021</v>
      </c>
    </row>
    <row r="249" spans="1:60" x14ac:dyDescent="0.25">
      <c r="A249" s="17"/>
      <c r="B249" s="31" t="s">
        <v>320</v>
      </c>
      <c r="C249" s="22">
        <v>45534</v>
      </c>
      <c r="D249" s="32">
        <v>55</v>
      </c>
      <c r="E249" s="12">
        <v>2137500</v>
      </c>
      <c r="F249" s="12">
        <v>180893.49</v>
      </c>
      <c r="G249" s="220">
        <f>E249-F249</f>
        <v>1956606.51</v>
      </c>
      <c r="H249" s="220">
        <f>ROUND(G249*18%,)</f>
        <v>352189</v>
      </c>
      <c r="I249" s="12">
        <f>G249+H249</f>
        <v>2308795.5099999998</v>
      </c>
      <c r="J249" s="12">
        <f>ROUND(G249*$J$5,)</f>
        <v>19566</v>
      </c>
      <c r="K249" s="12">
        <f>ROUND(G249*$K$5,)</f>
        <v>97830</v>
      </c>
      <c r="L249" s="37"/>
      <c r="M249" s="12">
        <f>G249*10%</f>
        <v>195660.65100000001</v>
      </c>
      <c r="N249" s="18">
        <f>H249</f>
        <v>352189</v>
      </c>
      <c r="O249" s="12"/>
      <c r="P249" s="12">
        <f>I249-SUM(J249:O249)</f>
        <v>1643549.8589999997</v>
      </c>
      <c r="Q249" s="174"/>
      <c r="R249" s="12"/>
      <c r="S249" s="12"/>
      <c r="T249" s="40">
        <v>500000</v>
      </c>
      <c r="U249" s="226">
        <v>495000</v>
      </c>
      <c r="V249" s="15" t="s">
        <v>515</v>
      </c>
      <c r="W249" s="12"/>
    </row>
    <row r="250" spans="1:60" x14ac:dyDescent="0.25">
      <c r="A250" s="17"/>
      <c r="B250" s="31" t="s">
        <v>575</v>
      </c>
      <c r="C250" s="22"/>
      <c r="D250" s="32">
        <v>55</v>
      </c>
      <c r="E250" s="12">
        <f>N249</f>
        <v>352189</v>
      </c>
      <c r="F250" s="12"/>
      <c r="G250" s="12"/>
      <c r="H250" s="12"/>
      <c r="I250" s="12"/>
      <c r="J250" s="12"/>
      <c r="K250" s="12"/>
      <c r="L250" s="12"/>
      <c r="M250" s="12"/>
      <c r="N250" s="37"/>
      <c r="O250" s="37"/>
      <c r="P250" s="12">
        <f>E250</f>
        <v>352189</v>
      </c>
      <c r="Q250" s="174"/>
      <c r="R250" s="12"/>
      <c r="S250" s="12"/>
      <c r="T250" s="40">
        <v>500000</v>
      </c>
      <c r="U250" s="113">
        <v>495000</v>
      </c>
      <c r="V250" s="15" t="s">
        <v>539</v>
      </c>
      <c r="W250" s="12"/>
    </row>
    <row r="251" spans="1:60" x14ac:dyDescent="0.25">
      <c r="A251" s="17"/>
      <c r="B251" s="31"/>
      <c r="C251" s="22"/>
      <c r="D251" s="32"/>
      <c r="E251" s="12"/>
      <c r="F251" s="12"/>
      <c r="G251" s="12"/>
      <c r="H251" s="12"/>
      <c r="I251" s="12"/>
      <c r="J251" s="12"/>
      <c r="K251" s="12"/>
      <c r="L251" s="12"/>
      <c r="M251" s="12"/>
      <c r="N251" s="37"/>
      <c r="O251" s="37"/>
      <c r="P251" s="12"/>
      <c r="Q251" s="174"/>
      <c r="R251" s="12"/>
      <c r="S251" s="12"/>
      <c r="T251" s="40">
        <v>500000</v>
      </c>
      <c r="U251" s="113">
        <v>495000</v>
      </c>
      <c r="V251" s="15" t="s">
        <v>553</v>
      </c>
      <c r="W251" s="12"/>
    </row>
    <row r="252" spans="1:60" s="29" customFormat="1" x14ac:dyDescent="0.25">
      <c r="A252" s="17"/>
      <c r="B252" s="31"/>
      <c r="C252" s="22"/>
      <c r="D252" s="32"/>
      <c r="E252" s="12"/>
      <c r="F252" s="12"/>
      <c r="G252" s="12"/>
      <c r="H252" s="12"/>
      <c r="I252" s="12"/>
      <c r="J252" s="12"/>
      <c r="K252" s="12"/>
      <c r="L252" s="12"/>
      <c r="M252" s="12"/>
      <c r="N252" s="37"/>
      <c r="O252" s="37"/>
      <c r="P252" s="12"/>
      <c r="Q252" s="174"/>
      <c r="R252" s="12"/>
      <c r="S252" s="12"/>
      <c r="T252" s="40">
        <v>400000</v>
      </c>
      <c r="U252" s="113">
        <v>396000</v>
      </c>
      <c r="V252" s="15" t="s">
        <v>721</v>
      </c>
      <c r="W252" s="12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3"/>
      <c r="BB252" s="13"/>
      <c r="BC252" s="13"/>
      <c r="BD252" s="13"/>
      <c r="BE252" s="13"/>
      <c r="BF252" s="13"/>
      <c r="BG252" s="13"/>
      <c r="BH252" s="13"/>
    </row>
    <row r="253" spans="1:60" x14ac:dyDescent="0.25">
      <c r="A253" s="17"/>
      <c r="B253" s="31"/>
      <c r="C253" s="22"/>
      <c r="D253" s="32"/>
      <c r="E253" s="12"/>
      <c r="F253" s="12"/>
      <c r="G253" s="12"/>
      <c r="H253" s="12"/>
      <c r="I253" s="12"/>
      <c r="J253" s="12"/>
      <c r="K253" s="12"/>
      <c r="L253" s="12"/>
      <c r="M253" s="12"/>
      <c r="N253" s="37"/>
      <c r="O253" s="37"/>
      <c r="P253" s="12"/>
      <c r="Q253" s="174"/>
      <c r="R253" s="12"/>
      <c r="S253" s="12"/>
      <c r="T253" s="40">
        <v>400000</v>
      </c>
      <c r="U253" s="113">
        <v>396000</v>
      </c>
      <c r="V253" s="15" t="s">
        <v>730</v>
      </c>
      <c r="W253" s="12"/>
    </row>
    <row r="254" spans="1:60" x14ac:dyDescent="0.25">
      <c r="A254" s="295">
        <v>59328</v>
      </c>
      <c r="B254" s="296"/>
      <c r="C254" s="297"/>
      <c r="D254" s="298"/>
      <c r="E254" s="299"/>
      <c r="F254" s="299"/>
      <c r="G254" s="299"/>
      <c r="H254" s="299"/>
      <c r="I254" s="299"/>
      <c r="J254" s="299"/>
      <c r="K254" s="299"/>
      <c r="L254" s="299"/>
      <c r="M254" s="299"/>
      <c r="N254" s="299"/>
      <c r="O254" s="299"/>
      <c r="P254" s="299"/>
      <c r="Q254" s="300">
        <f>A254</f>
        <v>59328</v>
      </c>
      <c r="R254" s="259"/>
      <c r="S254" s="259"/>
      <c r="T254" s="259"/>
      <c r="U254" s="336"/>
      <c r="V254" s="261"/>
      <c r="W254" s="261"/>
    </row>
    <row r="255" spans="1:60" x14ac:dyDescent="0.25">
      <c r="A255" s="17">
        <v>2475000</v>
      </c>
      <c r="B255" s="31" t="s">
        <v>318</v>
      </c>
      <c r="C255" s="22">
        <v>45363</v>
      </c>
      <c r="D255" s="95">
        <v>92234</v>
      </c>
      <c r="E255" s="12">
        <f>2475000*15%</f>
        <v>371250</v>
      </c>
      <c r="F255" s="12">
        <v>140309</v>
      </c>
      <c r="G255" s="220">
        <f>E255-F255</f>
        <v>230941</v>
      </c>
      <c r="H255" s="220">
        <f>ROUND(G255*18%,)</f>
        <v>41569</v>
      </c>
      <c r="I255" s="12">
        <f>G255+H255</f>
        <v>272510</v>
      </c>
      <c r="J255" s="12">
        <f>ROUND(G255*$J$5,)</f>
        <v>2309</v>
      </c>
      <c r="K255" s="12">
        <f>ROUND(G255*$K$5,)</f>
        <v>11547</v>
      </c>
      <c r="L255" s="12">
        <f>ROUND(G255*$L$7,)</f>
        <v>0</v>
      </c>
      <c r="M255" s="12">
        <f>ROUND(G255*$M$5,)</f>
        <v>23094</v>
      </c>
      <c r="N255" s="227">
        <f>H255</f>
        <v>41569</v>
      </c>
      <c r="O255" s="12">
        <v>49500</v>
      </c>
      <c r="P255" s="12">
        <f>G255-J255-K255-M255-O255</f>
        <v>144491</v>
      </c>
      <c r="Q255" s="174"/>
      <c r="R255" s="37">
        <v>2475000</v>
      </c>
      <c r="S255" s="12">
        <f>R256-SUM(T255:T260)</f>
        <v>32500</v>
      </c>
      <c r="T255" s="40">
        <v>200000</v>
      </c>
      <c r="U255" s="226">
        <v>198000</v>
      </c>
      <c r="V255" s="15" t="s">
        <v>190</v>
      </c>
      <c r="W255" s="12"/>
    </row>
    <row r="256" spans="1:60" x14ac:dyDescent="0.25">
      <c r="A256" s="17">
        <f>A255*70%</f>
        <v>1732500</v>
      </c>
      <c r="B256" s="31" t="s">
        <v>318</v>
      </c>
      <c r="C256" s="22">
        <v>45449</v>
      </c>
      <c r="D256" s="32" t="s">
        <v>516</v>
      </c>
      <c r="E256" s="12">
        <v>742500</v>
      </c>
      <c r="F256" s="12">
        <v>294273</v>
      </c>
      <c r="G256" s="220">
        <f>E256-F256</f>
        <v>448227</v>
      </c>
      <c r="H256" s="220">
        <f>ROUND(G256*18%,)</f>
        <v>80681</v>
      </c>
      <c r="I256" s="12">
        <f>G256+H256</f>
        <v>528908</v>
      </c>
      <c r="J256" s="12">
        <f>ROUND(G256*$J$5,)</f>
        <v>4482</v>
      </c>
      <c r="K256" s="12">
        <f>ROUND(G256*$K$5,)</f>
        <v>22411</v>
      </c>
      <c r="L256" s="12">
        <f>ROUND(G256*$L$7,)</f>
        <v>0</v>
      </c>
      <c r="M256" s="12">
        <f>ROUND(G256*$M$5,)</f>
        <v>44823</v>
      </c>
      <c r="N256" s="227">
        <f>H256</f>
        <v>80681</v>
      </c>
      <c r="O256" s="12">
        <v>0</v>
      </c>
      <c r="P256" s="12">
        <f>G256-J256-K256-M256-O256</f>
        <v>376511</v>
      </c>
      <c r="Q256" s="174"/>
      <c r="R256" s="37">
        <f>R255*70%</f>
        <v>1732500</v>
      </c>
      <c r="S256" s="37"/>
      <c r="T256" s="40">
        <v>400000</v>
      </c>
      <c r="U256" s="226">
        <v>396000</v>
      </c>
      <c r="V256" s="15" t="s">
        <v>319</v>
      </c>
      <c r="W256" s="12">
        <f>SUM(P255:P260)-SUM(U255:U260)</f>
        <v>-687219.0368</v>
      </c>
    </row>
    <row r="257" spans="1:60" x14ac:dyDescent="0.25">
      <c r="A257" s="17"/>
      <c r="B257" s="31" t="s">
        <v>318</v>
      </c>
      <c r="C257" s="22">
        <v>45466</v>
      </c>
      <c r="D257" s="32" t="s">
        <v>517</v>
      </c>
      <c r="E257" s="12">
        <v>247500</v>
      </c>
      <c r="F257" s="12">
        <v>108786</v>
      </c>
      <c r="G257" s="220">
        <f>E257-F257</f>
        <v>138714</v>
      </c>
      <c r="H257" s="220">
        <f>ROUND(G257*18%,)</f>
        <v>24969</v>
      </c>
      <c r="I257" s="12">
        <f>G257+H257</f>
        <v>163683</v>
      </c>
      <c r="J257" s="12">
        <f>ROUND(G257*$J$5,)</f>
        <v>1387</v>
      </c>
      <c r="K257" s="12">
        <f>ROUND(G257*$K$5,)</f>
        <v>6936</v>
      </c>
      <c r="L257" s="12">
        <f>ROUND(G257*$L$7,)</f>
        <v>0</v>
      </c>
      <c r="M257" s="12">
        <v>0</v>
      </c>
      <c r="N257" s="227">
        <f>H257</f>
        <v>24969</v>
      </c>
      <c r="O257" s="12">
        <v>123750</v>
      </c>
      <c r="P257" s="12">
        <f>G257-J257-K257-M257-O257</f>
        <v>6641</v>
      </c>
      <c r="Q257" s="174"/>
      <c r="R257" s="37"/>
      <c r="S257" s="37"/>
      <c r="T257" s="40">
        <v>1000000</v>
      </c>
      <c r="U257" s="236">
        <v>990000</v>
      </c>
      <c r="V257" s="15" t="s">
        <v>536</v>
      </c>
      <c r="W257" s="37"/>
    </row>
    <row r="258" spans="1:60" x14ac:dyDescent="0.25">
      <c r="A258" s="17"/>
      <c r="B258" s="31" t="s">
        <v>318</v>
      </c>
      <c r="C258" s="22">
        <v>45534</v>
      </c>
      <c r="D258" s="32">
        <v>69</v>
      </c>
      <c r="E258" s="12">
        <v>247500</v>
      </c>
      <c r="F258" s="12">
        <v>167256.16</v>
      </c>
      <c r="G258" s="220">
        <f>E258-F258</f>
        <v>80243.839999999997</v>
      </c>
      <c r="H258" s="220">
        <f>ROUND(G258*18%,)</f>
        <v>14444</v>
      </c>
      <c r="I258" s="12">
        <f>G258+H258</f>
        <v>94687.84</v>
      </c>
      <c r="J258" s="12">
        <f>ROUND(G258*$J$5,)</f>
        <v>802</v>
      </c>
      <c r="K258" s="12">
        <f>ROUND(G258*$K$5,)</f>
        <v>4012</v>
      </c>
      <c r="L258" s="12">
        <f>ROUND(G258*$L$7,)</f>
        <v>0</v>
      </c>
      <c r="M258" s="12">
        <v>0</v>
      </c>
      <c r="N258" s="18">
        <f>H258</f>
        <v>14444</v>
      </c>
      <c r="O258" s="12">
        <f>2%*G258</f>
        <v>1604.8768</v>
      </c>
      <c r="P258" s="12">
        <f>G258-J258-K258-M258-O258</f>
        <v>73824.963199999998</v>
      </c>
      <c r="Q258" s="174"/>
      <c r="R258" s="37"/>
      <c r="S258" s="37"/>
      <c r="T258" s="40">
        <v>100000</v>
      </c>
      <c r="U258" s="113">
        <v>99000</v>
      </c>
      <c r="V258" s="15" t="s">
        <v>712</v>
      </c>
      <c r="W258" s="37"/>
    </row>
    <row r="259" spans="1:60" s="29" customFormat="1" x14ac:dyDescent="0.25">
      <c r="A259" s="17"/>
      <c r="B259" s="31" t="s">
        <v>575</v>
      </c>
      <c r="C259" s="22"/>
      <c r="D259" s="32" t="s">
        <v>649</v>
      </c>
      <c r="E259" s="12">
        <f>N255+N256+N257+N258</f>
        <v>161663</v>
      </c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>
        <f>E259</f>
        <v>161663</v>
      </c>
      <c r="Q259" s="174"/>
      <c r="R259" s="37"/>
      <c r="S259" s="37"/>
      <c r="T259" s="37"/>
      <c r="U259" s="61"/>
      <c r="V259" s="14"/>
      <c r="W259" s="37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  <c r="AZ259" s="13"/>
      <c r="BA259" s="13"/>
      <c r="BB259" s="13"/>
      <c r="BC259" s="13"/>
      <c r="BD259" s="13"/>
      <c r="BE259" s="13"/>
      <c r="BF259" s="13"/>
      <c r="BG259" s="13"/>
      <c r="BH259" s="13"/>
    </row>
    <row r="260" spans="1:60" x14ac:dyDescent="0.25">
      <c r="A260" s="17"/>
      <c r="B260" s="31" t="s">
        <v>318</v>
      </c>
      <c r="C260" s="22">
        <v>45710</v>
      </c>
      <c r="D260" s="32">
        <v>143</v>
      </c>
      <c r="E260" s="12">
        <v>247500</v>
      </c>
      <c r="F260" s="12">
        <v>0</v>
      </c>
      <c r="G260" s="12">
        <f>E260-F260</f>
        <v>247500</v>
      </c>
      <c r="H260" s="110">
        <f>ROUND(G260*18%,)</f>
        <v>44550</v>
      </c>
      <c r="I260" s="12">
        <f>G260+H260</f>
        <v>292050</v>
      </c>
      <c r="J260" s="12">
        <f>ROUND(G260*$J$5,)</f>
        <v>2475</v>
      </c>
      <c r="K260" s="12">
        <f>ROUND(G260*$K$5,)</f>
        <v>12375</v>
      </c>
      <c r="L260" s="12">
        <f>ROUND(G260*$L$7,)</f>
        <v>0</v>
      </c>
      <c r="M260" s="12">
        <v>0</v>
      </c>
      <c r="N260" s="18">
        <f>H260</f>
        <v>44550</v>
      </c>
      <c r="O260" s="12">
        <v>0</v>
      </c>
      <c r="P260" s="12">
        <f>G260-J260-K260-M260-O260</f>
        <v>232650</v>
      </c>
      <c r="Q260" s="182" t="s">
        <v>738</v>
      </c>
      <c r="R260" s="37"/>
      <c r="S260" s="37"/>
      <c r="T260" s="37"/>
      <c r="U260" s="61"/>
      <c r="V260" s="14"/>
      <c r="W260" s="37"/>
    </row>
    <row r="261" spans="1:60" x14ac:dyDescent="0.25">
      <c r="A261" s="295">
        <v>59651</v>
      </c>
      <c r="B261" s="296"/>
      <c r="C261" s="297"/>
      <c r="D261" s="298"/>
      <c r="E261" s="299"/>
      <c r="F261" s="299"/>
      <c r="G261" s="299"/>
      <c r="H261" s="299"/>
      <c r="I261" s="299"/>
      <c r="J261" s="299"/>
      <c r="K261" s="299"/>
      <c r="L261" s="299"/>
      <c r="M261" s="299"/>
      <c r="N261" s="299"/>
      <c r="O261" s="299"/>
      <c r="P261" s="299"/>
      <c r="Q261" s="300">
        <f>A261</f>
        <v>59651</v>
      </c>
      <c r="R261" s="259"/>
      <c r="S261" s="259"/>
      <c r="T261" s="259"/>
      <c r="U261" s="260"/>
      <c r="V261" s="261"/>
      <c r="W261" s="261"/>
    </row>
    <row r="262" spans="1:60" x14ac:dyDescent="0.25">
      <c r="A262" s="17">
        <v>1365000</v>
      </c>
      <c r="B262" s="31" t="s">
        <v>317</v>
      </c>
      <c r="C262" s="22">
        <v>45366</v>
      </c>
      <c r="D262" s="156">
        <v>99241</v>
      </c>
      <c r="E262" s="12">
        <f>1365000*25%</f>
        <v>341250</v>
      </c>
      <c r="F262" s="12">
        <v>160896.82999999999</v>
      </c>
      <c r="G262" s="220">
        <f>E262-F262</f>
        <v>180353.17</v>
      </c>
      <c r="H262" s="220">
        <f>ROUND(G262*18%,)</f>
        <v>32464</v>
      </c>
      <c r="I262" s="12">
        <f>G262+H262</f>
        <v>212817.17</v>
      </c>
      <c r="J262" s="12">
        <f>ROUND(G262*$J$5,)</f>
        <v>1804</v>
      </c>
      <c r="K262" s="12">
        <f>ROUND(G262*$K$5,)</f>
        <v>9018</v>
      </c>
      <c r="L262" s="12">
        <f>ROUND(G262*$L$7,)</f>
        <v>0</v>
      </c>
      <c r="M262" s="12">
        <f>ROUND(G262*$M$5,)</f>
        <v>18035</v>
      </c>
      <c r="N262" s="12">
        <f>H262</f>
        <v>32464</v>
      </c>
      <c r="O262" s="41"/>
      <c r="P262" s="12">
        <f>I262-SUM(J262:N262)</f>
        <v>151496.17000000001</v>
      </c>
      <c r="Q262" s="174"/>
      <c r="R262" s="64">
        <v>1365000</v>
      </c>
      <c r="S262" s="12">
        <f>R262-SUM(T262:T266)</f>
        <v>15000</v>
      </c>
      <c r="T262" s="40">
        <v>150000</v>
      </c>
      <c r="U262" s="113">
        <f t="shared" ref="U262:U263" si="52">T262-1%*T262</f>
        <v>148500</v>
      </c>
      <c r="V262" s="15" t="s">
        <v>208</v>
      </c>
      <c r="W262" s="37"/>
    </row>
    <row r="263" spans="1:60" x14ac:dyDescent="0.25">
      <c r="A263" s="17"/>
      <c r="B263" s="31" t="s">
        <v>575</v>
      </c>
      <c r="C263" s="22"/>
      <c r="D263" s="95">
        <v>241</v>
      </c>
      <c r="E263" s="12">
        <f>N262</f>
        <v>32464</v>
      </c>
      <c r="F263" s="12"/>
      <c r="G263" s="12"/>
      <c r="H263" s="12"/>
      <c r="I263" s="12"/>
      <c r="J263" s="12"/>
      <c r="K263" s="12"/>
      <c r="L263" s="12"/>
      <c r="M263" s="12"/>
      <c r="N263" s="37"/>
      <c r="O263" s="37"/>
      <c r="P263" s="12">
        <f>E263</f>
        <v>32464</v>
      </c>
      <c r="Q263" s="174"/>
      <c r="R263" s="64"/>
      <c r="S263" s="64"/>
      <c r="T263" s="40">
        <v>500000</v>
      </c>
      <c r="U263" s="113">
        <f t="shared" si="52"/>
        <v>495000</v>
      </c>
      <c r="V263" s="15" t="s">
        <v>363</v>
      </c>
      <c r="W263" s="12">
        <f>SUM(P262:P266)-SUM(U262:U266)</f>
        <v>-443250.82999999996</v>
      </c>
    </row>
    <row r="264" spans="1:60" x14ac:dyDescent="0.25">
      <c r="A264" s="17"/>
      <c r="B264" s="31" t="s">
        <v>317</v>
      </c>
      <c r="C264" s="22">
        <v>45544</v>
      </c>
      <c r="D264" s="32">
        <v>88</v>
      </c>
      <c r="E264" s="12">
        <v>204750</v>
      </c>
      <c r="F264" s="12"/>
      <c r="G264" s="220">
        <f>E264-F264</f>
        <v>204750</v>
      </c>
      <c r="H264" s="220">
        <f>ROUND(G264*18%,)</f>
        <v>36855</v>
      </c>
      <c r="I264" s="12">
        <f>G264+H264</f>
        <v>241605</v>
      </c>
      <c r="J264" s="12">
        <f>ROUND(G264*$J$5,)</f>
        <v>2048</v>
      </c>
      <c r="K264" s="12">
        <f>ROUND(G264*$K$5,)</f>
        <v>10238</v>
      </c>
      <c r="L264" s="12">
        <f>ROUND(G264*$L$7,)</f>
        <v>0</v>
      </c>
      <c r="M264" s="12"/>
      <c r="N264" s="12">
        <f>H264</f>
        <v>36855</v>
      </c>
      <c r="O264" s="41"/>
      <c r="P264" s="12">
        <f>I264-SUM(J264:N264)</f>
        <v>192464</v>
      </c>
      <c r="Q264" s="174"/>
      <c r="R264" s="64"/>
      <c r="S264" s="64"/>
      <c r="T264" s="40">
        <v>500000</v>
      </c>
      <c r="U264" s="113">
        <v>495000</v>
      </c>
      <c r="V264" s="15" t="s">
        <v>476</v>
      </c>
      <c r="W264" s="64"/>
    </row>
    <row r="265" spans="1:60" s="29" customFormat="1" x14ac:dyDescent="0.25">
      <c r="A265" s="17"/>
      <c r="B265" s="31" t="s">
        <v>575</v>
      </c>
      <c r="C265" s="22"/>
      <c r="D265" s="95">
        <v>88</v>
      </c>
      <c r="E265" s="12">
        <f>N264</f>
        <v>36855</v>
      </c>
      <c r="F265" s="12"/>
      <c r="G265" s="12"/>
      <c r="H265" s="12"/>
      <c r="I265" s="12"/>
      <c r="J265" s="12"/>
      <c r="K265" s="12"/>
      <c r="L265" s="12"/>
      <c r="M265" s="12"/>
      <c r="N265" s="37"/>
      <c r="O265" s="37"/>
      <c r="P265" s="12">
        <f>E265</f>
        <v>36855</v>
      </c>
      <c r="Q265" s="174"/>
      <c r="R265" s="64"/>
      <c r="S265" s="64"/>
      <c r="T265" s="40">
        <v>200000</v>
      </c>
      <c r="U265" s="113">
        <v>198000</v>
      </c>
      <c r="V265" s="15" t="s">
        <v>698</v>
      </c>
      <c r="W265" s="64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  <c r="AZ265" s="13"/>
      <c r="BA265" s="13"/>
      <c r="BB265" s="13"/>
      <c r="BC265" s="13"/>
      <c r="BD265" s="13"/>
      <c r="BE265" s="13"/>
      <c r="BF265" s="13"/>
      <c r="BG265" s="13"/>
      <c r="BH265" s="13"/>
    </row>
    <row r="266" spans="1:60" x14ac:dyDescent="0.25">
      <c r="A266" s="17"/>
      <c r="B266" s="31" t="s">
        <v>317</v>
      </c>
      <c r="C266" s="22">
        <v>45710</v>
      </c>
      <c r="D266" s="32">
        <v>135</v>
      </c>
      <c r="E266" s="12">
        <v>682500</v>
      </c>
      <c r="F266" s="12"/>
      <c r="G266" s="220">
        <f>E266-F266</f>
        <v>682500</v>
      </c>
      <c r="H266" s="220">
        <f>ROUND(G266*18%,)</f>
        <v>122850</v>
      </c>
      <c r="I266" s="12">
        <f>G266+H266</f>
        <v>805350</v>
      </c>
      <c r="J266" s="12">
        <f>ROUND(G266*$J$5,)</f>
        <v>6825</v>
      </c>
      <c r="K266" s="12">
        <f>ROUND(G266*$K$5,)</f>
        <v>34125</v>
      </c>
      <c r="L266" s="12">
        <f>ROUND(G266*$L$7,)</f>
        <v>0</v>
      </c>
      <c r="M266" s="12"/>
      <c r="N266" s="12">
        <f>H266</f>
        <v>122850</v>
      </c>
      <c r="O266" s="41">
        <v>161580</v>
      </c>
      <c r="P266" s="12">
        <f>I266-SUM(J266:O266)</f>
        <v>479970</v>
      </c>
      <c r="Q266" s="174"/>
      <c r="R266" s="64"/>
      <c r="S266" s="64"/>
      <c r="T266" s="37"/>
      <c r="U266" s="61"/>
      <c r="V266" s="14"/>
      <c r="W266" s="64"/>
    </row>
    <row r="267" spans="1:60" x14ac:dyDescent="0.25">
      <c r="A267" s="295">
        <v>59652</v>
      </c>
      <c r="B267" s="296"/>
      <c r="C267" s="297"/>
      <c r="D267" s="298"/>
      <c r="E267" s="299"/>
      <c r="F267" s="299"/>
      <c r="G267" s="299"/>
      <c r="H267" s="299"/>
      <c r="I267" s="299"/>
      <c r="J267" s="299"/>
      <c r="K267" s="299"/>
      <c r="L267" s="299"/>
      <c r="M267" s="299"/>
      <c r="N267" s="299"/>
      <c r="O267" s="299"/>
      <c r="P267" s="299"/>
      <c r="Q267" s="300">
        <f>A267</f>
        <v>59652</v>
      </c>
      <c r="R267" s="259"/>
      <c r="S267" s="259"/>
      <c r="T267" s="259" t="s">
        <v>477</v>
      </c>
      <c r="U267" s="260"/>
      <c r="V267" s="261"/>
      <c r="W267" s="261"/>
    </row>
    <row r="268" spans="1:60" x14ac:dyDescent="0.25">
      <c r="A268" s="17">
        <v>3671250</v>
      </c>
      <c r="B268" s="31" t="s">
        <v>316</v>
      </c>
      <c r="C268" s="22">
        <v>45366</v>
      </c>
      <c r="D268" s="32" t="s">
        <v>428</v>
      </c>
      <c r="E268" s="12">
        <f>3671250*5%</f>
        <v>183562.5</v>
      </c>
      <c r="F268" s="12">
        <v>37000</v>
      </c>
      <c r="G268" s="220">
        <f>E268-F268</f>
        <v>146562.5</v>
      </c>
      <c r="H268" s="220">
        <f>ROUND(G268*18%,)</f>
        <v>26381</v>
      </c>
      <c r="I268" s="12">
        <f>G268+H268</f>
        <v>172943.5</v>
      </c>
      <c r="J268" s="12">
        <f>ROUND(G268*$J$5,)</f>
        <v>1466</v>
      </c>
      <c r="K268" s="12">
        <f>ROUND(G268*$K$5,)</f>
        <v>7328</v>
      </c>
      <c r="L268" s="12">
        <f>ROUND(G268*$L$7,)</f>
        <v>0</v>
      </c>
      <c r="M268" s="12">
        <f>ROUND(G268*$M$5,)</f>
        <v>14656</v>
      </c>
      <c r="N268" s="227">
        <f>H268</f>
        <v>26381</v>
      </c>
      <c r="O268" s="41"/>
      <c r="P268" s="12">
        <f>I268-SUM(J268:N268)</f>
        <v>123112.5</v>
      </c>
      <c r="Q268" s="174"/>
      <c r="R268" s="64">
        <v>3671250</v>
      </c>
      <c r="S268" s="12">
        <f>R268-SUM(T268:T275)</f>
        <v>-528750</v>
      </c>
      <c r="T268" s="40">
        <v>400000</v>
      </c>
      <c r="U268" s="113">
        <f t="shared" ref="U268" si="53">T268-1%*T268</f>
        <v>396000</v>
      </c>
      <c r="V268" s="15" t="s">
        <v>210</v>
      </c>
      <c r="W268" s="64"/>
    </row>
    <row r="269" spans="1:60" x14ac:dyDescent="0.25">
      <c r="A269" s="17"/>
      <c r="B269" s="31" t="s">
        <v>316</v>
      </c>
      <c r="C269" s="22">
        <v>45377</v>
      </c>
      <c r="D269" s="32" t="s">
        <v>427</v>
      </c>
      <c r="E269" s="12">
        <f>3671250*20%</f>
        <v>734250</v>
      </c>
      <c r="F269" s="12">
        <v>358782</v>
      </c>
      <c r="G269" s="220">
        <f>E269-F269</f>
        <v>375468</v>
      </c>
      <c r="H269" s="220">
        <f>ROUND(G269*18%,)</f>
        <v>67584</v>
      </c>
      <c r="I269" s="12">
        <f>G269+H269</f>
        <v>443052</v>
      </c>
      <c r="J269" s="12">
        <f>ROUND(G269*$J$5,)</f>
        <v>3755</v>
      </c>
      <c r="K269" s="12">
        <f>ROUND(G269*$K$5,)</f>
        <v>18773</v>
      </c>
      <c r="L269" s="12">
        <f>ROUND(G269*$L$7,)</f>
        <v>0</v>
      </c>
      <c r="M269" s="12">
        <f>ROUND(G269*$M$5,)</f>
        <v>37547</v>
      </c>
      <c r="N269" s="227">
        <f>H269</f>
        <v>67584</v>
      </c>
      <c r="O269" s="41"/>
      <c r="P269" s="12">
        <f>I269-SUM(J269:N269)</f>
        <v>315393</v>
      </c>
      <c r="Q269" s="174"/>
      <c r="R269" s="64"/>
      <c r="S269" s="64"/>
      <c r="T269" s="40">
        <v>600000</v>
      </c>
      <c r="U269" s="113">
        <v>594000</v>
      </c>
      <c r="V269" s="15" t="s">
        <v>473</v>
      </c>
      <c r="W269" s="12">
        <f>SUM(P268:P275)-SUM(U268:U275)</f>
        <v>-1175913.8500000001</v>
      </c>
    </row>
    <row r="270" spans="1:60" x14ac:dyDescent="0.25">
      <c r="A270" s="17"/>
      <c r="B270" s="31" t="s">
        <v>575</v>
      </c>
      <c r="C270" s="22"/>
      <c r="D270" s="32" t="s">
        <v>578</v>
      </c>
      <c r="E270" s="12">
        <f>N268+N269</f>
        <v>93965</v>
      </c>
      <c r="F270" s="12"/>
      <c r="G270" s="12"/>
      <c r="H270" s="12"/>
      <c r="I270" s="12"/>
      <c r="J270" s="12"/>
      <c r="K270" s="12"/>
      <c r="L270" s="12"/>
      <c r="M270" s="12"/>
      <c r="N270" s="37"/>
      <c r="O270" s="37"/>
      <c r="P270" s="12">
        <f>E270</f>
        <v>93965</v>
      </c>
      <c r="Q270" s="174"/>
      <c r="R270" s="64"/>
      <c r="S270" s="64"/>
      <c r="T270" s="40">
        <v>500000</v>
      </c>
      <c r="U270" s="113">
        <v>495000</v>
      </c>
      <c r="V270" s="15" t="s">
        <v>538</v>
      </c>
      <c r="W270" s="64"/>
    </row>
    <row r="271" spans="1:60" x14ac:dyDescent="0.25">
      <c r="A271" s="17"/>
      <c r="B271" s="31" t="s">
        <v>316</v>
      </c>
      <c r="C271" s="22">
        <v>45544</v>
      </c>
      <c r="D271" s="32">
        <v>87</v>
      </c>
      <c r="E271" s="12">
        <v>2019187</v>
      </c>
      <c r="F271" s="12"/>
      <c r="G271" s="220">
        <f>E271-F271</f>
        <v>2019187</v>
      </c>
      <c r="H271" s="220">
        <f>ROUND(G271*18%,)</f>
        <v>363454</v>
      </c>
      <c r="I271" s="12">
        <f>G271+H271</f>
        <v>2382641</v>
      </c>
      <c r="J271" s="12">
        <f>ROUND(G271*$J$5,)</f>
        <v>20192</v>
      </c>
      <c r="K271" s="12">
        <f>ROUND(G271*$K$5,)</f>
        <v>100959</v>
      </c>
      <c r="L271" s="12">
        <f>ROUND(G271*$L$7,)</f>
        <v>0</v>
      </c>
      <c r="M271" s="12">
        <v>0</v>
      </c>
      <c r="N271" s="18">
        <f>H271</f>
        <v>363454</v>
      </c>
      <c r="O271" s="12">
        <f>G271*5%</f>
        <v>100959.35</v>
      </c>
      <c r="P271" s="12">
        <f>G271-J271-K271-M271-O271</f>
        <v>1797076.65</v>
      </c>
      <c r="Q271" s="174"/>
      <c r="R271" s="64"/>
      <c r="S271" s="64"/>
      <c r="T271" s="40">
        <v>1000000</v>
      </c>
      <c r="U271" s="113">
        <v>990000</v>
      </c>
      <c r="V271" s="15" t="s">
        <v>554</v>
      </c>
      <c r="W271" s="64"/>
    </row>
    <row r="272" spans="1:60" x14ac:dyDescent="0.25">
      <c r="A272" s="17"/>
      <c r="B272" s="31" t="s">
        <v>575</v>
      </c>
      <c r="C272" s="22"/>
      <c r="D272" s="32">
        <v>87</v>
      </c>
      <c r="E272" s="12">
        <f>N271</f>
        <v>363454</v>
      </c>
      <c r="F272" s="12"/>
      <c r="G272" s="12"/>
      <c r="H272" s="12"/>
      <c r="I272" s="12"/>
      <c r="J272" s="12"/>
      <c r="K272" s="12"/>
      <c r="L272" s="12"/>
      <c r="M272" s="12"/>
      <c r="N272" s="37"/>
      <c r="O272" s="37"/>
      <c r="P272" s="12">
        <f>E272</f>
        <v>363454</v>
      </c>
      <c r="Q272" s="174"/>
      <c r="R272" s="64"/>
      <c r="S272" s="64"/>
      <c r="T272" s="40">
        <v>200000</v>
      </c>
      <c r="U272" s="113">
        <v>198000</v>
      </c>
      <c r="V272" s="15" t="s">
        <v>563</v>
      </c>
      <c r="W272" s="64"/>
    </row>
    <row r="273" spans="1:60" x14ac:dyDescent="0.25">
      <c r="A273" s="17"/>
      <c r="B273" s="31" t="s">
        <v>316</v>
      </c>
      <c r="C273" s="22">
        <v>45710</v>
      </c>
      <c r="D273" s="32">
        <v>144</v>
      </c>
      <c r="E273" s="12">
        <v>550688</v>
      </c>
      <c r="F273" s="12"/>
      <c r="G273" s="220">
        <f>E273-F273</f>
        <v>550688</v>
      </c>
      <c r="H273" s="220">
        <f>ROUND(G273*18%,)</f>
        <v>99124</v>
      </c>
      <c r="I273" s="12">
        <f>G273+H273</f>
        <v>649812</v>
      </c>
      <c r="J273" s="12">
        <f>ROUND(G273*$J$5,)</f>
        <v>5507</v>
      </c>
      <c r="K273" s="12">
        <f>ROUND(G273*$K$5,)</f>
        <v>27534</v>
      </c>
      <c r="L273" s="12">
        <f>ROUND(G273*$L$7,)</f>
        <v>0</v>
      </c>
      <c r="M273" s="12">
        <v>0</v>
      </c>
      <c r="N273" s="18">
        <f>H273</f>
        <v>99124</v>
      </c>
      <c r="O273" s="12">
        <v>228562</v>
      </c>
      <c r="P273" s="12">
        <f>G273-J273-K273-M273-O273</f>
        <v>289085</v>
      </c>
      <c r="Q273" s="174"/>
      <c r="R273" s="64"/>
      <c r="S273" s="64"/>
      <c r="T273" s="40">
        <v>500000</v>
      </c>
      <c r="U273" s="113">
        <v>495000</v>
      </c>
      <c r="V273" s="15" t="s">
        <v>589</v>
      </c>
      <c r="W273" s="64"/>
    </row>
    <row r="274" spans="1:60" s="29" customFormat="1" x14ac:dyDescent="0.25">
      <c r="A274" s="17"/>
      <c r="B274" s="31"/>
      <c r="C274" s="22"/>
      <c r="D274" s="32"/>
      <c r="E274" s="12"/>
      <c r="F274" s="12"/>
      <c r="G274" s="12"/>
      <c r="H274" s="12"/>
      <c r="I274" s="12"/>
      <c r="J274" s="12"/>
      <c r="K274" s="12"/>
      <c r="L274" s="12"/>
      <c r="M274" s="12"/>
      <c r="N274" s="37"/>
      <c r="O274" s="37"/>
      <c r="P274" s="12"/>
      <c r="Q274" s="174"/>
      <c r="R274" s="64"/>
      <c r="S274" s="64"/>
      <c r="T274" s="40">
        <v>500000</v>
      </c>
      <c r="U274" s="113">
        <v>495000</v>
      </c>
      <c r="V274" s="15" t="s">
        <v>627</v>
      </c>
      <c r="W274" s="64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  <c r="AZ274" s="13"/>
      <c r="BA274" s="13"/>
      <c r="BB274" s="13"/>
      <c r="BC274" s="13"/>
      <c r="BD274" s="13"/>
      <c r="BE274" s="13"/>
      <c r="BF274" s="13"/>
      <c r="BG274" s="13"/>
      <c r="BH274" s="13"/>
    </row>
    <row r="275" spans="1:60" x14ac:dyDescent="0.25">
      <c r="A275" s="17"/>
      <c r="B275" s="31"/>
      <c r="C275" s="22"/>
      <c r="D275" s="32"/>
      <c r="E275" s="12"/>
      <c r="F275" s="12"/>
      <c r="G275" s="12"/>
      <c r="H275" s="12"/>
      <c r="I275" s="12"/>
      <c r="J275" s="12"/>
      <c r="K275" s="12"/>
      <c r="L275" s="12"/>
      <c r="M275" s="12"/>
      <c r="N275" s="37"/>
      <c r="O275" s="37"/>
      <c r="P275" s="12"/>
      <c r="Q275" s="174"/>
      <c r="R275" s="64"/>
      <c r="S275" s="64"/>
      <c r="T275" s="40">
        <v>500000</v>
      </c>
      <c r="U275" s="113">
        <v>495000</v>
      </c>
      <c r="V275" s="15" t="s">
        <v>634</v>
      </c>
      <c r="W275" s="64"/>
    </row>
    <row r="276" spans="1:60" x14ac:dyDescent="0.25">
      <c r="A276" s="295">
        <v>59653</v>
      </c>
      <c r="B276" s="296"/>
      <c r="C276" s="297"/>
      <c r="D276" s="298"/>
      <c r="E276" s="299"/>
      <c r="F276" s="299"/>
      <c r="G276" s="299"/>
      <c r="H276" s="299"/>
      <c r="I276" s="299"/>
      <c r="J276" s="299"/>
      <c r="K276" s="299"/>
      <c r="L276" s="299"/>
      <c r="M276" s="299"/>
      <c r="N276" s="299"/>
      <c r="O276" s="299"/>
      <c r="P276" s="299"/>
      <c r="Q276" s="300">
        <f>A276</f>
        <v>59653</v>
      </c>
      <c r="R276" s="259"/>
      <c r="S276" s="259"/>
      <c r="T276" s="259"/>
      <c r="U276" s="260"/>
      <c r="V276" s="261"/>
      <c r="W276" s="261"/>
    </row>
    <row r="277" spans="1:60" x14ac:dyDescent="0.25">
      <c r="A277" s="17">
        <v>1365000</v>
      </c>
      <c r="B277" s="31" t="s">
        <v>314</v>
      </c>
      <c r="C277" s="22">
        <v>45367</v>
      </c>
      <c r="D277" s="32" t="s">
        <v>444</v>
      </c>
      <c r="E277" s="12">
        <f>1365000*25%</f>
        <v>341250</v>
      </c>
      <c r="F277" s="12">
        <v>142777.78</v>
      </c>
      <c r="G277" s="220">
        <f>E277-F277</f>
        <v>198472.22</v>
      </c>
      <c r="H277" s="220">
        <f>ROUND(G277*18%,)</f>
        <v>35725</v>
      </c>
      <c r="I277" s="12">
        <f>G277+H277</f>
        <v>234197.22</v>
      </c>
      <c r="J277" s="12">
        <f>ROUND(G277*$J$5,)</f>
        <v>1985</v>
      </c>
      <c r="K277" s="12">
        <f>ROUND(G277*$K$5,)</f>
        <v>9924</v>
      </c>
      <c r="L277" s="12">
        <f>ROUND(G277*$L$7,)</f>
        <v>0</v>
      </c>
      <c r="M277" s="12">
        <f>ROUND(G277*$M$5,)</f>
        <v>19847</v>
      </c>
      <c r="N277" s="12">
        <f>H277</f>
        <v>35725</v>
      </c>
      <c r="O277" s="41"/>
      <c r="P277" s="12">
        <f>I277-SUM(J277:N277)</f>
        <v>166716.22</v>
      </c>
      <c r="Q277" s="174"/>
      <c r="R277" s="64">
        <v>1365000</v>
      </c>
      <c r="S277" s="12">
        <f>R277-SUM(T277:T281)</f>
        <v>65000</v>
      </c>
      <c r="T277" s="40">
        <v>150000</v>
      </c>
      <c r="U277" s="113">
        <f>T277-1%*T277</f>
        <v>148500</v>
      </c>
      <c r="V277" s="15" t="s">
        <v>225</v>
      </c>
      <c r="W277" s="64"/>
    </row>
    <row r="278" spans="1:60" x14ac:dyDescent="0.25">
      <c r="A278" s="17"/>
      <c r="B278" s="31" t="s">
        <v>575</v>
      </c>
      <c r="C278" s="22"/>
      <c r="D278" s="32">
        <v>243</v>
      </c>
      <c r="E278" s="12">
        <f>N277</f>
        <v>35725</v>
      </c>
      <c r="F278" s="12"/>
      <c r="G278" s="12"/>
      <c r="H278" s="12"/>
      <c r="I278" s="12"/>
      <c r="J278" s="12"/>
      <c r="K278" s="12"/>
      <c r="L278" s="12"/>
      <c r="M278" s="12"/>
      <c r="N278" s="37"/>
      <c r="O278" s="37"/>
      <c r="P278" s="12">
        <f>E278</f>
        <v>35725</v>
      </c>
      <c r="Q278" s="174"/>
      <c r="R278" s="64"/>
      <c r="S278" s="64"/>
      <c r="T278" s="40">
        <v>400000</v>
      </c>
      <c r="U278" s="113">
        <f>T278-1%*T278</f>
        <v>396000</v>
      </c>
      <c r="V278" s="15" t="s">
        <v>224</v>
      </c>
      <c r="W278" s="12">
        <f>SUM(P277:P281)-SUM(U277:U281)</f>
        <v>-855239.78</v>
      </c>
    </row>
    <row r="279" spans="1:60" x14ac:dyDescent="0.25">
      <c r="A279" s="17"/>
      <c r="B279" s="31" t="s">
        <v>314</v>
      </c>
      <c r="C279" s="22">
        <v>45544</v>
      </c>
      <c r="D279" s="32">
        <v>85</v>
      </c>
      <c r="E279" s="12">
        <v>204750</v>
      </c>
      <c r="F279" s="12"/>
      <c r="G279" s="220">
        <f>E279-F279</f>
        <v>204750</v>
      </c>
      <c r="H279" s="220">
        <f>ROUND(G279*18%,)</f>
        <v>36855</v>
      </c>
      <c r="I279" s="12">
        <f>G279+H279</f>
        <v>241605</v>
      </c>
      <c r="J279" s="12">
        <f>ROUND(G279*$J$5,)</f>
        <v>2048</v>
      </c>
      <c r="K279" s="12">
        <f>ROUND(G279*$K$5,)</f>
        <v>10238</v>
      </c>
      <c r="L279" s="12">
        <f>ROUND(G279*$L$7,)</f>
        <v>0</v>
      </c>
      <c r="M279" s="12"/>
      <c r="N279" s="12">
        <f>H279</f>
        <v>36855</v>
      </c>
      <c r="O279" s="41"/>
      <c r="P279" s="12">
        <f>I279-SUM(J279:N279)</f>
        <v>192464</v>
      </c>
      <c r="Q279" s="174"/>
      <c r="R279" s="64"/>
      <c r="S279" s="64"/>
      <c r="T279" s="40">
        <v>300000</v>
      </c>
      <c r="U279" s="113">
        <v>297000</v>
      </c>
      <c r="V279" s="15" t="s">
        <v>472</v>
      </c>
      <c r="W279" s="64"/>
    </row>
    <row r="280" spans="1:60" s="29" customFormat="1" x14ac:dyDescent="0.25">
      <c r="A280" s="17"/>
      <c r="B280" s="31" t="s">
        <v>575</v>
      </c>
      <c r="C280" s="22"/>
      <c r="D280" s="32">
        <v>85</v>
      </c>
      <c r="E280" s="12">
        <f>N279</f>
        <v>36855</v>
      </c>
      <c r="F280" s="12"/>
      <c r="G280" s="12"/>
      <c r="H280" s="12"/>
      <c r="I280" s="12"/>
      <c r="J280" s="12"/>
      <c r="K280" s="12"/>
      <c r="L280" s="12"/>
      <c r="M280" s="12"/>
      <c r="N280" s="37"/>
      <c r="O280" s="37"/>
      <c r="P280" s="12">
        <f>E280</f>
        <v>36855</v>
      </c>
      <c r="Q280" s="174"/>
      <c r="R280" s="64"/>
      <c r="S280" s="64"/>
      <c r="T280" s="40">
        <v>250000</v>
      </c>
      <c r="U280" s="113">
        <v>247500</v>
      </c>
      <c r="V280" s="15" t="s">
        <v>555</v>
      </c>
      <c r="W280" s="64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  <c r="AZ280" s="13"/>
      <c r="BA280" s="13"/>
      <c r="BB280" s="13"/>
      <c r="BC280" s="13"/>
      <c r="BD280" s="13"/>
      <c r="BE280" s="13"/>
      <c r="BF280" s="13"/>
      <c r="BG280" s="13"/>
      <c r="BH280" s="13"/>
    </row>
    <row r="281" spans="1:60" x14ac:dyDescent="0.25">
      <c r="A281" s="17"/>
      <c r="B281" s="31"/>
      <c r="C281" s="22"/>
      <c r="D281" s="32"/>
      <c r="E281" s="12"/>
      <c r="F281" s="12"/>
      <c r="G281" s="12"/>
      <c r="H281" s="12"/>
      <c r="I281" s="12"/>
      <c r="J281" s="12"/>
      <c r="K281" s="12"/>
      <c r="L281" s="12"/>
      <c r="M281" s="12"/>
      <c r="N281" s="37"/>
      <c r="O281" s="37"/>
      <c r="P281" s="12"/>
      <c r="Q281" s="174"/>
      <c r="R281" s="64"/>
      <c r="S281" s="64"/>
      <c r="T281" s="40">
        <v>200000</v>
      </c>
      <c r="U281" s="113">
        <v>198000</v>
      </c>
      <c r="V281" s="15" t="s">
        <v>716</v>
      </c>
      <c r="W281" s="64"/>
    </row>
    <row r="282" spans="1:60" x14ac:dyDescent="0.25">
      <c r="A282" s="295">
        <v>59654</v>
      </c>
      <c r="B282" s="296"/>
      <c r="C282" s="297"/>
      <c r="D282" s="298"/>
      <c r="E282" s="299"/>
      <c r="F282" s="299"/>
      <c r="G282" s="299"/>
      <c r="H282" s="299"/>
      <c r="I282" s="299"/>
      <c r="J282" s="299"/>
      <c r="K282" s="299"/>
      <c r="L282" s="299"/>
      <c r="M282" s="299"/>
      <c r="N282" s="299"/>
      <c r="O282" s="299"/>
      <c r="P282" s="299"/>
      <c r="Q282" s="300">
        <f>A282</f>
        <v>59654</v>
      </c>
      <c r="R282" s="259"/>
      <c r="S282" s="259"/>
      <c r="T282" s="259"/>
      <c r="U282" s="260"/>
      <c r="V282" s="261"/>
      <c r="W282" s="261"/>
    </row>
    <row r="283" spans="1:60" x14ac:dyDescent="0.25">
      <c r="A283" s="17">
        <v>2475000</v>
      </c>
      <c r="B283" s="31" t="s">
        <v>315</v>
      </c>
      <c r="C283" s="22">
        <v>45367</v>
      </c>
      <c r="D283" s="95">
        <v>98244</v>
      </c>
      <c r="E283" s="12">
        <f>2475000*20%</f>
        <v>495000</v>
      </c>
      <c r="F283" s="12">
        <v>193072.9</v>
      </c>
      <c r="G283" s="220">
        <f>E283-F283</f>
        <v>301927.09999999998</v>
      </c>
      <c r="H283" s="220">
        <f>ROUND(G283*18%,)</f>
        <v>54347</v>
      </c>
      <c r="I283" s="12">
        <f>G283+H283</f>
        <v>356274.1</v>
      </c>
      <c r="J283" s="12">
        <f>ROUND(G283*$J$5,)</f>
        <v>3019</v>
      </c>
      <c r="K283" s="12">
        <f>ROUND(G283*$K$5,)</f>
        <v>15096</v>
      </c>
      <c r="L283" s="12">
        <f>ROUND(G283*$L$5,)</f>
        <v>0</v>
      </c>
      <c r="M283" s="12">
        <f>ROUND(G283*$M$5,)</f>
        <v>30193</v>
      </c>
      <c r="N283" s="12">
        <f>H283</f>
        <v>54347</v>
      </c>
      <c r="O283" s="41"/>
      <c r="P283" s="12">
        <f>I283-SUM(J283:N283)</f>
        <v>253619.09999999998</v>
      </c>
      <c r="Q283" s="174"/>
      <c r="R283" s="12">
        <v>2475000</v>
      </c>
      <c r="S283" s="12">
        <f>R284-SUM(T283:T287)</f>
        <v>1250</v>
      </c>
      <c r="T283" s="40">
        <v>250000</v>
      </c>
      <c r="U283" s="113">
        <f t="shared" ref="U283:U284" si="54">T283-1%*T283</f>
        <v>247500</v>
      </c>
      <c r="V283" s="15" t="s">
        <v>236</v>
      </c>
      <c r="W283" s="64"/>
    </row>
    <row r="284" spans="1:60" x14ac:dyDescent="0.25">
      <c r="A284" s="17">
        <f>A283*95%</f>
        <v>2351250</v>
      </c>
      <c r="B284" s="31"/>
      <c r="C284" s="22">
        <v>45233</v>
      </c>
      <c r="D284" s="32">
        <v>126</v>
      </c>
      <c r="E284" s="12">
        <v>371250</v>
      </c>
      <c r="F284" s="12">
        <v>161937</v>
      </c>
      <c r="G284" s="12">
        <f>E284-F284</f>
        <v>209313</v>
      </c>
      <c r="H284" s="41">
        <f>ROUND(G284*18%,)</f>
        <v>37676</v>
      </c>
      <c r="I284" s="12">
        <f>G284+H284</f>
        <v>246989</v>
      </c>
      <c r="J284" s="12">
        <f>ROUND(G284*$J$5,)</f>
        <v>2093</v>
      </c>
      <c r="K284" s="12">
        <f>ROUND(G284*$K$5,)</f>
        <v>10466</v>
      </c>
      <c r="L284" s="12">
        <f>ROUND(G284*$L$5,)</f>
        <v>0</v>
      </c>
      <c r="M284" s="12">
        <f>ROUND(G284*$M$5,)</f>
        <v>20931</v>
      </c>
      <c r="N284" s="12">
        <f>H284</f>
        <v>37676</v>
      </c>
      <c r="O284" s="41"/>
      <c r="P284" s="12">
        <f>I284-SUM(J284:N284)</f>
        <v>175823</v>
      </c>
      <c r="Q284" s="174"/>
      <c r="R284" s="12">
        <f>R283*95%</f>
        <v>2351250</v>
      </c>
      <c r="S284" s="12"/>
      <c r="T284" s="40">
        <v>300000</v>
      </c>
      <c r="U284" s="113">
        <f t="shared" si="54"/>
        <v>297000</v>
      </c>
      <c r="V284" s="15" t="s">
        <v>222</v>
      </c>
      <c r="W284" s="12">
        <f>SUM(P283:P287)-SUM(U283:U287)</f>
        <v>-751705.53520000027</v>
      </c>
    </row>
    <row r="285" spans="1:60" x14ac:dyDescent="0.25">
      <c r="A285" s="17"/>
      <c r="B285" s="31"/>
      <c r="C285" s="22">
        <v>45534</v>
      </c>
      <c r="D285" s="32">
        <v>62</v>
      </c>
      <c r="E285" s="12">
        <v>1237500</v>
      </c>
      <c r="F285" s="12">
        <v>234328.64</v>
      </c>
      <c r="G285" s="220">
        <f>E285-F285</f>
        <v>1003171.36</v>
      </c>
      <c r="H285" s="220">
        <f>ROUND(G285*18%,)</f>
        <v>180571</v>
      </c>
      <c r="I285" s="12">
        <f>G285+H285</f>
        <v>1183742.3599999999</v>
      </c>
      <c r="J285" s="12">
        <f>ROUND(G285*$J$5,)</f>
        <v>10032</v>
      </c>
      <c r="K285" s="12">
        <f>ROUND(G285*$K$5,)</f>
        <v>50159</v>
      </c>
      <c r="L285" s="12">
        <f>ROUND(G285*$L$5,)</f>
        <v>0</v>
      </c>
      <c r="M285" s="12"/>
      <c r="N285" s="18">
        <f>H285</f>
        <v>180571</v>
      </c>
      <c r="O285" s="41">
        <f>G285*7%</f>
        <v>70221.995200000005</v>
      </c>
      <c r="P285" s="12">
        <f>I285-SUM(J285:O285)</f>
        <v>872758.36479999986</v>
      </c>
      <c r="Q285" s="174"/>
      <c r="R285" s="64"/>
      <c r="S285" s="64"/>
      <c r="T285" s="40">
        <v>1000000</v>
      </c>
      <c r="U285" s="113">
        <v>990000</v>
      </c>
      <c r="V285" s="15" t="s">
        <v>486</v>
      </c>
      <c r="W285" s="12"/>
    </row>
    <row r="286" spans="1:60" s="30" customFormat="1" x14ac:dyDescent="0.25">
      <c r="A286" s="17"/>
      <c r="B286" s="31" t="s">
        <v>575</v>
      </c>
      <c r="C286" s="22"/>
      <c r="D286" s="32" t="s">
        <v>661</v>
      </c>
      <c r="E286" s="12">
        <f>H283+H284+H285</f>
        <v>272594</v>
      </c>
      <c r="F286" s="12"/>
      <c r="G286" s="12"/>
      <c r="H286" s="12"/>
      <c r="I286" s="12"/>
      <c r="J286" s="12"/>
      <c r="K286" s="12"/>
      <c r="L286" s="12"/>
      <c r="M286" s="12"/>
      <c r="N286" s="37"/>
      <c r="O286" s="37"/>
      <c r="P286" s="12">
        <f>E286</f>
        <v>272594</v>
      </c>
      <c r="Q286" s="174"/>
      <c r="R286" s="64"/>
      <c r="S286" s="64"/>
      <c r="T286" s="40">
        <v>500000</v>
      </c>
      <c r="U286" s="113">
        <v>495000</v>
      </c>
      <c r="V286" s="15" t="s">
        <v>544</v>
      </c>
      <c r="W286" s="64"/>
      <c r="X286" s="151"/>
      <c r="Y286" s="151"/>
      <c r="Z286" s="151"/>
      <c r="AA286" s="151"/>
      <c r="AB286" s="151"/>
      <c r="AC286" s="151"/>
      <c r="AD286" s="151"/>
      <c r="AE286" s="13"/>
      <c r="AF286" s="151"/>
      <c r="AG286" s="151"/>
      <c r="AH286" s="151"/>
      <c r="AI286" s="151"/>
      <c r="AJ286" s="151"/>
      <c r="AK286" s="151"/>
      <c r="AL286" s="151"/>
      <c r="AM286" s="151"/>
      <c r="AN286" s="151"/>
      <c r="AO286" s="151"/>
      <c r="AP286" s="151"/>
      <c r="AQ286" s="151"/>
      <c r="AR286" s="151"/>
      <c r="AS286" s="151"/>
      <c r="AT286" s="151"/>
      <c r="AU286" s="151"/>
      <c r="AV286" s="151"/>
      <c r="AW286" s="151"/>
      <c r="AX286" s="151"/>
      <c r="AY286" s="151"/>
      <c r="AZ286" s="151"/>
      <c r="BA286" s="151"/>
      <c r="BB286" s="151"/>
      <c r="BC286" s="151"/>
      <c r="BD286" s="151"/>
      <c r="BE286" s="151"/>
      <c r="BF286" s="151"/>
      <c r="BG286" s="151"/>
      <c r="BH286" s="151"/>
    </row>
    <row r="287" spans="1:60" s="13" customFormat="1" x14ac:dyDescent="0.25">
      <c r="A287" s="17"/>
      <c r="B287" s="31"/>
      <c r="C287" s="22"/>
      <c r="D287" s="32"/>
      <c r="E287" s="12"/>
      <c r="F287" s="12"/>
      <c r="G287" s="12"/>
      <c r="H287" s="12"/>
      <c r="I287" s="12"/>
      <c r="J287" s="12"/>
      <c r="K287" s="12"/>
      <c r="L287" s="12"/>
      <c r="M287" s="12"/>
      <c r="N287" s="37"/>
      <c r="O287" s="37"/>
      <c r="P287" s="12"/>
      <c r="Q287" s="174"/>
      <c r="R287" s="64"/>
      <c r="S287" s="64"/>
      <c r="T287" s="40">
        <v>300000</v>
      </c>
      <c r="U287" s="113">
        <v>297000</v>
      </c>
      <c r="V287" s="15" t="s">
        <v>722</v>
      </c>
      <c r="W287" s="64"/>
      <c r="AE287" s="151"/>
    </row>
    <row r="288" spans="1:60" s="13" customFormat="1" x14ac:dyDescent="0.25">
      <c r="A288" s="295">
        <v>59793</v>
      </c>
      <c r="B288" s="330"/>
      <c r="C288" s="331"/>
      <c r="D288" s="332"/>
      <c r="E288" s="333"/>
      <c r="F288" s="333"/>
      <c r="G288" s="333"/>
      <c r="H288" s="333"/>
      <c r="I288" s="333"/>
      <c r="J288" s="333"/>
      <c r="K288" s="333"/>
      <c r="L288" s="333"/>
      <c r="M288" s="333"/>
      <c r="N288" s="333"/>
      <c r="O288" s="333"/>
      <c r="P288" s="333"/>
      <c r="Q288" s="300">
        <f>A288</f>
        <v>59793</v>
      </c>
      <c r="R288" s="334"/>
      <c r="S288" s="334"/>
      <c r="T288" s="334"/>
      <c r="U288" s="260"/>
      <c r="V288" s="335"/>
      <c r="W288" s="335"/>
    </row>
    <row r="289" spans="1:60" s="13" customFormat="1" x14ac:dyDescent="0.25">
      <c r="A289" s="17">
        <v>1706250</v>
      </c>
      <c r="B289" s="31" t="s">
        <v>312</v>
      </c>
      <c r="C289" s="22">
        <v>45374</v>
      </c>
      <c r="D289" s="32" t="s">
        <v>580</v>
      </c>
      <c r="E289" s="12">
        <f>1706250*25%</f>
        <v>426562.5</v>
      </c>
      <c r="F289" s="12">
        <v>193655</v>
      </c>
      <c r="G289" s="220">
        <f>E289-F289</f>
        <v>232907.5</v>
      </c>
      <c r="H289" s="220">
        <f>ROUND(G289*18%,)</f>
        <v>41923</v>
      </c>
      <c r="I289" s="12">
        <f>G289+H289</f>
        <v>274830.5</v>
      </c>
      <c r="J289" s="12">
        <f>ROUND(G289*$J$5,)</f>
        <v>2329</v>
      </c>
      <c r="K289" s="12">
        <f>ROUND(G289*$K$5,)</f>
        <v>11645</v>
      </c>
      <c r="L289" s="12">
        <f>ROUND(G289*$L$7,)</f>
        <v>0</v>
      </c>
      <c r="M289" s="12">
        <f>ROUND(G289*$M$5,)</f>
        <v>23291</v>
      </c>
      <c r="N289" s="12">
        <f>H289</f>
        <v>41923</v>
      </c>
      <c r="O289" s="12"/>
      <c r="P289" s="12">
        <f>G289-J289-K289-M289-O289</f>
        <v>195642.5</v>
      </c>
      <c r="Q289" s="174"/>
      <c r="R289" s="37">
        <v>1706250</v>
      </c>
      <c r="S289" s="12">
        <f>R289-SUM(T289:T292)</f>
        <v>56250</v>
      </c>
      <c r="T289" s="40">
        <v>300000</v>
      </c>
      <c r="U289" s="113">
        <f>T289-1%*T289</f>
        <v>297000</v>
      </c>
      <c r="V289" s="15" t="s">
        <v>188</v>
      </c>
      <c r="W289" s="64"/>
    </row>
    <row r="290" spans="1:60" s="13" customFormat="1" x14ac:dyDescent="0.25">
      <c r="A290" s="17"/>
      <c r="B290" s="31" t="s">
        <v>575</v>
      </c>
      <c r="C290" s="22"/>
      <c r="D290" s="32">
        <v>248</v>
      </c>
      <c r="E290" s="12">
        <f>H289</f>
        <v>41923</v>
      </c>
      <c r="F290" s="12"/>
      <c r="G290" s="12"/>
      <c r="H290" s="12"/>
      <c r="I290" s="12"/>
      <c r="J290" s="12"/>
      <c r="K290" s="12"/>
      <c r="L290" s="12"/>
      <c r="M290" s="12"/>
      <c r="N290" s="37"/>
      <c r="O290" s="37"/>
      <c r="P290" s="12">
        <f>E290</f>
        <v>41923</v>
      </c>
      <c r="Q290" s="174"/>
      <c r="R290" s="64"/>
      <c r="S290" s="64"/>
      <c r="T290" s="40">
        <v>1000000</v>
      </c>
      <c r="U290" s="113">
        <v>990000</v>
      </c>
      <c r="V290" s="15" t="s">
        <v>468</v>
      </c>
      <c r="W290" s="12">
        <f>SUM(P289:P292)-SUM(U289:U292)</f>
        <v>-473649.5</v>
      </c>
    </row>
    <row r="291" spans="1:60" s="29" customFormat="1" x14ac:dyDescent="0.25">
      <c r="A291" s="17"/>
      <c r="B291" s="31" t="s">
        <v>312</v>
      </c>
      <c r="C291" s="22">
        <v>45712</v>
      </c>
      <c r="D291" s="32">
        <v>160</v>
      </c>
      <c r="E291" s="12">
        <v>1194375</v>
      </c>
      <c r="F291" s="12">
        <v>0</v>
      </c>
      <c r="G291" s="220">
        <f>E291-F291</f>
        <v>1194375</v>
      </c>
      <c r="H291" s="220">
        <f>ROUND(G291*18%,)</f>
        <v>214988</v>
      </c>
      <c r="I291" s="12">
        <f>G291+H291</f>
        <v>1409363</v>
      </c>
      <c r="J291" s="12">
        <f>ROUND(G291*$J$5,)</f>
        <v>11944</v>
      </c>
      <c r="K291" s="12">
        <f>ROUND(G291*$K$5,)</f>
        <v>59719</v>
      </c>
      <c r="L291" s="12">
        <f>ROUND(G291*$L$7,)</f>
        <v>0</v>
      </c>
      <c r="M291" s="12">
        <v>0</v>
      </c>
      <c r="N291" s="12">
        <f>H291</f>
        <v>214988</v>
      </c>
      <c r="O291" s="12">
        <v>200427</v>
      </c>
      <c r="P291" s="12">
        <f>G291-J291-K291-M291-O291</f>
        <v>922285</v>
      </c>
      <c r="Q291" s="174"/>
      <c r="R291" s="64"/>
      <c r="S291" s="64"/>
      <c r="T291" s="40">
        <v>250000</v>
      </c>
      <c r="U291" s="113">
        <v>247500</v>
      </c>
      <c r="V291" s="15" t="s">
        <v>556</v>
      </c>
      <c r="W291" s="64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  <c r="AZ291" s="13"/>
      <c r="BA291" s="13"/>
      <c r="BB291" s="13"/>
      <c r="BC291" s="13"/>
      <c r="BD291" s="13"/>
      <c r="BE291" s="13"/>
      <c r="BF291" s="13"/>
      <c r="BG291" s="13"/>
      <c r="BH291" s="13"/>
    </row>
    <row r="292" spans="1:60" s="13" customFormat="1" x14ac:dyDescent="0.25">
      <c r="A292" s="17"/>
      <c r="B292" s="31"/>
      <c r="C292" s="22"/>
      <c r="D292" s="32"/>
      <c r="E292" s="12"/>
      <c r="F292" s="12"/>
      <c r="G292" s="12"/>
      <c r="H292" s="12"/>
      <c r="I292" s="12"/>
      <c r="J292" s="12"/>
      <c r="K292" s="12"/>
      <c r="L292" s="12"/>
      <c r="M292" s="12"/>
      <c r="N292" s="37"/>
      <c r="O292" s="37"/>
      <c r="P292" s="12"/>
      <c r="Q292" s="174"/>
      <c r="R292" s="64"/>
      <c r="S292" s="64"/>
      <c r="T292" s="40">
        <v>100000</v>
      </c>
      <c r="U292" s="113">
        <v>99000</v>
      </c>
      <c r="V292" s="15" t="s">
        <v>711</v>
      </c>
      <c r="W292" s="64"/>
    </row>
    <row r="293" spans="1:60" s="13" customFormat="1" x14ac:dyDescent="0.25">
      <c r="A293" s="295">
        <v>60073</v>
      </c>
      <c r="B293" s="296"/>
      <c r="C293" s="297"/>
      <c r="D293" s="298"/>
      <c r="E293" s="299"/>
      <c r="F293" s="299"/>
      <c r="G293" s="299"/>
      <c r="H293" s="299"/>
      <c r="I293" s="299"/>
      <c r="J293" s="299"/>
      <c r="K293" s="299"/>
      <c r="L293" s="299"/>
      <c r="M293" s="299"/>
      <c r="N293" s="299"/>
      <c r="O293" s="299"/>
      <c r="P293" s="299"/>
      <c r="Q293" s="300">
        <f>A293</f>
        <v>60073</v>
      </c>
      <c r="R293" s="259"/>
      <c r="S293" s="259"/>
      <c r="T293" s="259"/>
      <c r="U293" s="260"/>
      <c r="V293" s="261"/>
      <c r="W293" s="261"/>
    </row>
    <row r="294" spans="1:60" s="13" customFormat="1" x14ac:dyDescent="0.25">
      <c r="A294" s="17">
        <v>3500000</v>
      </c>
      <c r="B294" s="42" t="s">
        <v>310</v>
      </c>
      <c r="C294" s="43">
        <v>45402</v>
      </c>
      <c r="D294" s="44" t="s">
        <v>518</v>
      </c>
      <c r="E294" s="41">
        <v>875000</v>
      </c>
      <c r="F294" s="41">
        <v>329725</v>
      </c>
      <c r="G294" s="220">
        <f>E294-F294</f>
        <v>545275</v>
      </c>
      <c r="H294" s="220">
        <f>G294*18%</f>
        <v>98149.5</v>
      </c>
      <c r="I294" s="41">
        <f>G294+H294</f>
        <v>643424.5</v>
      </c>
      <c r="J294" s="41">
        <f>G294*1%</f>
        <v>5452.75</v>
      </c>
      <c r="K294" s="41">
        <f>G294*5%</f>
        <v>27263.75</v>
      </c>
      <c r="L294" s="12">
        <f t="shared" ref="L294" si="55">ROUND(G294*$L$7,)</f>
        <v>0</v>
      </c>
      <c r="M294" s="41">
        <f>G294*10%</f>
        <v>54527.5</v>
      </c>
      <c r="N294" s="41">
        <f>H294</f>
        <v>98149.5</v>
      </c>
      <c r="O294" s="41">
        <v>0</v>
      </c>
      <c r="P294" s="12">
        <f>G294-J294-K294-M294</f>
        <v>458031</v>
      </c>
      <c r="Q294" s="174"/>
      <c r="R294" s="37">
        <v>3500000</v>
      </c>
      <c r="S294" s="12">
        <f>R294-SUM(T294:T303)</f>
        <v>-550000</v>
      </c>
      <c r="T294" s="40">
        <v>300000</v>
      </c>
      <c r="U294" s="113">
        <f t="shared" ref="U294:U296" si="56">T294-1%*T294</f>
        <v>297000</v>
      </c>
      <c r="V294" s="15" t="s">
        <v>230</v>
      </c>
      <c r="W294" s="64"/>
    </row>
    <row r="295" spans="1:60" s="13" customFormat="1" x14ac:dyDescent="0.25">
      <c r="A295" s="17"/>
      <c r="B295" s="31" t="s">
        <v>575</v>
      </c>
      <c r="C295" s="22">
        <v>45402</v>
      </c>
      <c r="D295" s="32">
        <v>8</v>
      </c>
      <c r="E295" s="12">
        <f>H294</f>
        <v>98149.5</v>
      </c>
      <c r="F295" s="12"/>
      <c r="G295" s="12"/>
      <c r="H295" s="12"/>
      <c r="I295" s="12"/>
      <c r="J295" s="12"/>
      <c r="K295" s="12"/>
      <c r="L295" s="12"/>
      <c r="M295" s="12"/>
      <c r="N295" s="37"/>
      <c r="O295" s="37"/>
      <c r="P295" s="12">
        <f>E295</f>
        <v>98149.5</v>
      </c>
      <c r="Q295" s="174"/>
      <c r="R295" s="37"/>
      <c r="S295" s="37"/>
      <c r="T295" s="40">
        <v>150000</v>
      </c>
      <c r="U295" s="113">
        <f t="shared" si="56"/>
        <v>148500</v>
      </c>
      <c r="V295" s="15" t="s">
        <v>243</v>
      </c>
      <c r="W295" s="12">
        <f>SUM(P294:P303)-SUM(U294:U303)</f>
        <v>-3040319.5</v>
      </c>
    </row>
    <row r="296" spans="1:60" s="13" customFormat="1" x14ac:dyDescent="0.25">
      <c r="A296" s="17"/>
      <c r="B296" s="42" t="s">
        <v>310</v>
      </c>
      <c r="C296" s="43">
        <v>45544</v>
      </c>
      <c r="D296" s="44">
        <v>76</v>
      </c>
      <c r="E296" s="41">
        <v>525000</v>
      </c>
      <c r="F296" s="41">
        <v>0</v>
      </c>
      <c r="G296" s="220">
        <f>E296-F296</f>
        <v>525000</v>
      </c>
      <c r="H296" s="220">
        <f>G296*18%</f>
        <v>94500</v>
      </c>
      <c r="I296" s="41">
        <f>G296+H296</f>
        <v>619500</v>
      </c>
      <c r="J296" s="41">
        <f>G296*1%</f>
        <v>5250</v>
      </c>
      <c r="K296" s="41">
        <f>G296*5%</f>
        <v>26250</v>
      </c>
      <c r="L296" s="12">
        <f t="shared" ref="L296" si="57">ROUND(G296*$L$7,)</f>
        <v>0</v>
      </c>
      <c r="M296" s="41">
        <v>0</v>
      </c>
      <c r="N296" s="41">
        <f>H296</f>
        <v>94500</v>
      </c>
      <c r="O296" s="41">
        <v>175000</v>
      </c>
      <c r="P296" s="12">
        <f>G296-J296-K296-M296-O296</f>
        <v>318500</v>
      </c>
      <c r="Q296" s="174"/>
      <c r="R296" s="37"/>
      <c r="S296" s="37"/>
      <c r="T296" s="40">
        <v>400000</v>
      </c>
      <c r="U296" s="113">
        <f t="shared" si="56"/>
        <v>396000</v>
      </c>
      <c r="V296" s="15" t="s">
        <v>290</v>
      </c>
      <c r="W296" s="37"/>
    </row>
    <row r="297" spans="1:60" s="13" customFormat="1" x14ac:dyDescent="0.25">
      <c r="A297" s="17"/>
      <c r="B297" s="31" t="s">
        <v>575</v>
      </c>
      <c r="C297" s="22"/>
      <c r="D297" s="32">
        <v>76</v>
      </c>
      <c r="E297" s="12">
        <f>H296</f>
        <v>94500</v>
      </c>
      <c r="F297" s="12"/>
      <c r="G297" s="12"/>
      <c r="H297" s="12"/>
      <c r="I297" s="12"/>
      <c r="J297" s="12"/>
      <c r="K297" s="12"/>
      <c r="L297" s="12"/>
      <c r="M297" s="12"/>
      <c r="N297" s="37"/>
      <c r="O297" s="37"/>
      <c r="P297" s="12">
        <f>E297</f>
        <v>94500</v>
      </c>
      <c r="Q297" s="174"/>
      <c r="R297" s="37"/>
      <c r="S297" s="37"/>
      <c r="T297" s="40">
        <v>1000000</v>
      </c>
      <c r="U297" s="113">
        <v>990000</v>
      </c>
      <c r="V297" s="15" t="s">
        <v>475</v>
      </c>
      <c r="W297" s="37"/>
    </row>
    <row r="298" spans="1:60" s="13" customFormat="1" x14ac:dyDescent="0.2">
      <c r="A298" s="17"/>
      <c r="B298" s="31"/>
      <c r="C298" s="22"/>
      <c r="D298" s="32"/>
      <c r="E298" s="12"/>
      <c r="F298" s="12"/>
      <c r="G298" s="12"/>
      <c r="H298" s="12"/>
      <c r="I298" s="12"/>
      <c r="J298" s="12"/>
      <c r="K298" s="12"/>
      <c r="L298" s="12"/>
      <c r="M298" s="12"/>
      <c r="N298" s="37"/>
      <c r="O298" s="37"/>
      <c r="P298" s="12"/>
      <c r="Q298" s="174"/>
      <c r="R298" s="37"/>
      <c r="S298" s="37"/>
      <c r="T298" s="40">
        <v>200000</v>
      </c>
      <c r="U298" s="113">
        <v>198000</v>
      </c>
      <c r="V298" s="234" t="s">
        <v>773</v>
      </c>
      <c r="W298" s="37"/>
    </row>
    <row r="299" spans="1:60" s="13" customFormat="1" x14ac:dyDescent="0.25">
      <c r="A299" s="17"/>
      <c r="B299" s="42"/>
      <c r="C299" s="43"/>
      <c r="D299" s="44"/>
      <c r="E299" s="41"/>
      <c r="F299" s="41"/>
      <c r="G299" s="41"/>
      <c r="H299" s="41"/>
      <c r="I299" s="41"/>
      <c r="J299" s="41"/>
      <c r="K299" s="41"/>
      <c r="L299" s="12"/>
      <c r="M299" s="41"/>
      <c r="N299" s="41"/>
      <c r="O299" s="41"/>
      <c r="P299" s="41"/>
      <c r="Q299" s="174"/>
      <c r="R299" s="37"/>
      <c r="S299" s="37"/>
      <c r="T299" s="40">
        <v>300000</v>
      </c>
      <c r="U299" s="113">
        <v>297000</v>
      </c>
      <c r="V299" s="15" t="s">
        <v>542</v>
      </c>
      <c r="W299" s="37"/>
    </row>
    <row r="300" spans="1:60" s="13" customFormat="1" x14ac:dyDescent="0.25">
      <c r="A300" s="17"/>
      <c r="B300" s="42"/>
      <c r="C300" s="43"/>
      <c r="D300" s="44"/>
      <c r="E300" s="41"/>
      <c r="F300" s="41"/>
      <c r="G300" s="41"/>
      <c r="H300" s="41"/>
      <c r="I300" s="41"/>
      <c r="J300" s="41"/>
      <c r="K300" s="41"/>
      <c r="L300" s="12"/>
      <c r="M300" s="41"/>
      <c r="N300" s="41"/>
      <c r="O300" s="41"/>
      <c r="P300" s="41"/>
      <c r="Q300" s="174"/>
      <c r="R300" s="37"/>
      <c r="S300" s="37"/>
      <c r="T300" s="40">
        <v>200000</v>
      </c>
      <c r="U300" s="113">
        <v>198000</v>
      </c>
      <c r="V300" s="15" t="s">
        <v>561</v>
      </c>
      <c r="W300" s="37"/>
    </row>
    <row r="301" spans="1:60" s="29" customFormat="1" x14ac:dyDescent="0.25">
      <c r="A301" s="17"/>
      <c r="B301" s="42"/>
      <c r="C301" s="43"/>
      <c r="D301" s="44"/>
      <c r="E301" s="41"/>
      <c r="F301" s="41"/>
      <c r="G301" s="41"/>
      <c r="H301" s="41"/>
      <c r="I301" s="41"/>
      <c r="J301" s="41"/>
      <c r="K301" s="41"/>
      <c r="L301" s="12"/>
      <c r="M301" s="41"/>
      <c r="N301" s="41"/>
      <c r="O301" s="41"/>
      <c r="P301" s="41"/>
      <c r="Q301" s="174"/>
      <c r="R301" s="37"/>
      <c r="S301" s="37"/>
      <c r="T301" s="40">
        <v>500000</v>
      </c>
      <c r="U301" s="113">
        <v>495000</v>
      </c>
      <c r="V301" s="15" t="s">
        <v>607</v>
      </c>
      <c r="W301" s="37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  <c r="AZ301" s="13"/>
      <c r="BA301" s="13"/>
      <c r="BB301" s="13"/>
      <c r="BC301" s="13"/>
      <c r="BD301" s="13"/>
      <c r="BE301" s="13"/>
      <c r="BF301" s="13"/>
      <c r="BG301" s="13"/>
      <c r="BH301" s="13"/>
    </row>
    <row r="302" spans="1:60" s="13" customFormat="1" x14ac:dyDescent="0.25">
      <c r="A302" s="17"/>
      <c r="B302" s="42"/>
      <c r="C302" s="43"/>
      <c r="D302" s="44"/>
      <c r="E302" s="41"/>
      <c r="F302" s="41"/>
      <c r="G302" s="41"/>
      <c r="H302" s="41"/>
      <c r="I302" s="41"/>
      <c r="J302" s="41"/>
      <c r="K302" s="41"/>
      <c r="L302" s="12"/>
      <c r="M302" s="41"/>
      <c r="N302" s="41"/>
      <c r="O302" s="41"/>
      <c r="P302" s="41"/>
      <c r="Q302" s="174"/>
      <c r="R302" s="37"/>
      <c r="S302" s="37"/>
      <c r="T302" s="40">
        <v>500000</v>
      </c>
      <c r="U302" s="113">
        <v>495000</v>
      </c>
      <c r="V302" s="15" t="s">
        <v>628</v>
      </c>
      <c r="W302" s="37"/>
    </row>
    <row r="303" spans="1:60" s="13" customFormat="1" x14ac:dyDescent="0.25">
      <c r="A303" s="17"/>
      <c r="B303" s="42"/>
      <c r="C303" s="43"/>
      <c r="D303" s="44"/>
      <c r="E303" s="41"/>
      <c r="F303" s="41"/>
      <c r="G303" s="41"/>
      <c r="H303" s="41"/>
      <c r="I303" s="41"/>
      <c r="J303" s="41"/>
      <c r="K303" s="41"/>
      <c r="L303" s="12"/>
      <c r="M303" s="41"/>
      <c r="N303" s="41"/>
      <c r="O303" s="41"/>
      <c r="P303" s="41"/>
      <c r="Q303" s="174"/>
      <c r="R303" s="37"/>
      <c r="S303" s="37"/>
      <c r="T303" s="40">
        <v>500000</v>
      </c>
      <c r="U303" s="113">
        <v>495000</v>
      </c>
      <c r="V303" s="15" t="s">
        <v>635</v>
      </c>
      <c r="W303" s="37"/>
    </row>
    <row r="304" spans="1:60" s="13" customFormat="1" x14ac:dyDescent="0.25">
      <c r="A304" s="295">
        <v>60074</v>
      </c>
      <c r="B304" s="296"/>
      <c r="C304" s="297"/>
      <c r="D304" s="298"/>
      <c r="E304" s="299"/>
      <c r="F304" s="299"/>
      <c r="G304" s="299"/>
      <c r="H304" s="299"/>
      <c r="I304" s="299"/>
      <c r="J304" s="299"/>
      <c r="K304" s="299"/>
      <c r="L304" s="299">
        <f>ROUND(G304*$L$7,)</f>
        <v>0</v>
      </c>
      <c r="M304" s="299"/>
      <c r="N304" s="299"/>
      <c r="O304" s="299"/>
      <c r="P304" s="299"/>
      <c r="Q304" s="300">
        <f>A304</f>
        <v>60074</v>
      </c>
      <c r="R304" s="259"/>
      <c r="S304" s="259"/>
      <c r="T304" s="259"/>
      <c r="U304" s="260"/>
      <c r="V304" s="261"/>
      <c r="W304" s="261"/>
    </row>
    <row r="305" spans="1:60" s="13" customFormat="1" x14ac:dyDescent="0.25">
      <c r="A305" s="17">
        <v>3150000</v>
      </c>
      <c r="B305" s="42" t="s">
        <v>311</v>
      </c>
      <c r="C305" s="43">
        <v>45377</v>
      </c>
      <c r="D305" s="44" t="s">
        <v>423</v>
      </c>
      <c r="E305" s="41">
        <v>787500</v>
      </c>
      <c r="F305" s="41">
        <v>255017</v>
      </c>
      <c r="G305" s="220">
        <f>E305-F305</f>
        <v>532483</v>
      </c>
      <c r="H305" s="220">
        <f>G305*18%</f>
        <v>95846.94</v>
      </c>
      <c r="I305" s="41">
        <f>G305+H305</f>
        <v>628329.93999999994</v>
      </c>
      <c r="J305" s="41">
        <v>5324.83</v>
      </c>
      <c r="K305" s="41">
        <v>26624.15</v>
      </c>
      <c r="L305" s="12">
        <f>ROUND(G305*$L$7,)</f>
        <v>0</v>
      </c>
      <c r="M305" s="41">
        <v>53248.3</v>
      </c>
      <c r="N305" s="41">
        <f>G305*18%</f>
        <v>95846.94</v>
      </c>
      <c r="O305" s="227">
        <v>95847</v>
      </c>
      <c r="P305" s="41">
        <v>447286</v>
      </c>
      <c r="Q305" s="174"/>
      <c r="R305" s="37">
        <v>3150000</v>
      </c>
      <c r="S305" s="12">
        <f>R305-SUM(T305:T313)</f>
        <v>-150000</v>
      </c>
      <c r="T305" s="40">
        <v>400000</v>
      </c>
      <c r="U305" s="113">
        <f>T305-1%*T305</f>
        <v>396000</v>
      </c>
      <c r="V305" s="15" t="s">
        <v>237</v>
      </c>
      <c r="W305" s="37"/>
    </row>
    <row r="306" spans="1:60" s="13" customFormat="1" x14ac:dyDescent="0.25">
      <c r="A306" s="17"/>
      <c r="B306" s="42"/>
      <c r="C306" s="43">
        <v>45435</v>
      </c>
      <c r="D306" s="44" t="s">
        <v>519</v>
      </c>
      <c r="E306" s="41">
        <v>472500</v>
      </c>
      <c r="F306" s="41">
        <v>208431</v>
      </c>
      <c r="G306" s="220">
        <f>E306-F306</f>
        <v>264069</v>
      </c>
      <c r="H306" s="220">
        <f>G306*18%</f>
        <v>47532.42</v>
      </c>
      <c r="I306" s="41">
        <f>G306+H306</f>
        <v>311601.42</v>
      </c>
      <c r="J306" s="41">
        <f>G306*1%</f>
        <v>2640.69</v>
      </c>
      <c r="K306" s="41">
        <f>G306*5%</f>
        <v>13203.45</v>
      </c>
      <c r="L306" s="12">
        <f t="shared" ref="L306" si="58">ROUND(G306*$L$7,)</f>
        <v>0</v>
      </c>
      <c r="M306" s="41">
        <f>G306*10%</f>
        <v>26406.9</v>
      </c>
      <c r="N306" s="41">
        <f>G306*18%</f>
        <v>47532.42</v>
      </c>
      <c r="O306" s="227">
        <v>47532</v>
      </c>
      <c r="P306" s="41">
        <f>G306-J306-K306-M306</f>
        <v>221817.96</v>
      </c>
      <c r="Q306" s="174"/>
      <c r="R306" s="37"/>
      <c r="S306" s="37"/>
      <c r="T306" s="40">
        <v>400000</v>
      </c>
      <c r="U306" s="113">
        <f>T306-1%*T306</f>
        <v>396000</v>
      </c>
      <c r="V306" s="15" t="s">
        <v>288</v>
      </c>
      <c r="W306" s="12">
        <f>SUM(P305:P313)-SUM(U305:U313)</f>
        <v>-1192740.9780000001</v>
      </c>
    </row>
    <row r="307" spans="1:60" s="13" customFormat="1" x14ac:dyDescent="0.25">
      <c r="A307" s="17"/>
      <c r="B307" s="42"/>
      <c r="C307" s="43">
        <v>45534</v>
      </c>
      <c r="D307" s="44">
        <v>72</v>
      </c>
      <c r="E307" s="41">
        <v>1417500</v>
      </c>
      <c r="F307" s="41">
        <v>220570.76</v>
      </c>
      <c r="G307" s="220">
        <f>E307-F307</f>
        <v>1196929.24</v>
      </c>
      <c r="H307" s="220">
        <f>G307*18%</f>
        <v>215447.26319999999</v>
      </c>
      <c r="I307" s="41">
        <f>G307+H307</f>
        <v>1412376.5031999999</v>
      </c>
      <c r="J307" s="41">
        <f>G307*1%</f>
        <v>11969.2924</v>
      </c>
      <c r="K307" s="41">
        <f>G307*5%</f>
        <v>59846.462</v>
      </c>
      <c r="L307" s="41">
        <f t="shared" ref="L307" si="59">ROUND(G307*$L$7,)</f>
        <v>0</v>
      </c>
      <c r="M307" s="41"/>
      <c r="N307" s="162">
        <f>G307*18%</f>
        <v>215447.26319999999</v>
      </c>
      <c r="O307" s="41">
        <f>G307*7%</f>
        <v>83785.046800000011</v>
      </c>
      <c r="P307" s="41">
        <f>I307-SUM(J307:O307)</f>
        <v>1041328.4387999999</v>
      </c>
      <c r="Q307" s="174"/>
      <c r="R307" s="37"/>
      <c r="S307" s="37"/>
      <c r="T307" s="40">
        <v>200000</v>
      </c>
      <c r="U307" s="113">
        <v>198000</v>
      </c>
      <c r="V307" s="15" t="s">
        <v>471</v>
      </c>
      <c r="W307" s="37"/>
    </row>
    <row r="308" spans="1:60" s="13" customFormat="1" x14ac:dyDescent="0.25">
      <c r="A308" s="17"/>
      <c r="B308" s="42" t="s">
        <v>575</v>
      </c>
      <c r="C308" s="43"/>
      <c r="D308" s="44" t="s">
        <v>659</v>
      </c>
      <c r="E308" s="41">
        <f>H306+H305+H307</f>
        <v>358826.62319999997</v>
      </c>
      <c r="F308" s="41"/>
      <c r="G308" s="41"/>
      <c r="H308" s="41"/>
      <c r="I308" s="41"/>
      <c r="J308" s="41"/>
      <c r="K308" s="41"/>
      <c r="L308" s="12"/>
      <c r="M308" s="41"/>
      <c r="N308" s="41"/>
      <c r="O308" s="41"/>
      <c r="P308" s="41">
        <f>E308</f>
        <v>358826.62319999997</v>
      </c>
      <c r="Q308" s="174"/>
      <c r="R308" s="37"/>
      <c r="S308" s="37"/>
      <c r="T308" s="40">
        <v>500000</v>
      </c>
      <c r="U308" s="113">
        <v>490000</v>
      </c>
      <c r="V308" s="15" t="s">
        <v>485</v>
      </c>
      <c r="W308" s="37"/>
    </row>
    <row r="309" spans="1:60" s="13" customFormat="1" x14ac:dyDescent="0.15">
      <c r="A309" s="17"/>
      <c r="B309" s="42"/>
      <c r="C309" s="43"/>
      <c r="D309" s="44"/>
      <c r="E309" s="41"/>
      <c r="F309" s="41"/>
      <c r="G309" s="41"/>
      <c r="H309" s="41"/>
      <c r="I309" s="41"/>
      <c r="J309" s="41"/>
      <c r="K309" s="41"/>
      <c r="L309" s="12"/>
      <c r="M309" s="41"/>
      <c r="N309" s="41"/>
      <c r="O309" s="41"/>
      <c r="P309" s="41"/>
      <c r="Q309" s="174"/>
      <c r="R309" s="37"/>
      <c r="S309" s="37"/>
      <c r="T309" s="40">
        <v>200000</v>
      </c>
      <c r="U309" s="113">
        <v>198000</v>
      </c>
      <c r="V309" s="235" t="s">
        <v>785</v>
      </c>
      <c r="W309" s="37"/>
    </row>
    <row r="310" spans="1:60" s="29" customFormat="1" x14ac:dyDescent="0.25">
      <c r="A310" s="17"/>
      <c r="B310" s="42"/>
      <c r="C310" s="43"/>
      <c r="D310" s="44"/>
      <c r="E310" s="41"/>
      <c r="F310" s="41"/>
      <c r="G310" s="41"/>
      <c r="H310" s="41"/>
      <c r="I310" s="41"/>
      <c r="J310" s="41"/>
      <c r="K310" s="41"/>
      <c r="L310" s="12"/>
      <c r="M310" s="41"/>
      <c r="N310" s="41"/>
      <c r="O310" s="41"/>
      <c r="P310" s="41"/>
      <c r="Q310" s="174"/>
      <c r="R310" s="37"/>
      <c r="S310" s="37"/>
      <c r="T310" s="40">
        <v>500000</v>
      </c>
      <c r="U310" s="113">
        <v>495000</v>
      </c>
      <c r="V310" s="15" t="s">
        <v>543</v>
      </c>
      <c r="W310" s="37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  <c r="AZ310" s="13"/>
      <c r="BA310" s="13"/>
      <c r="BB310" s="13"/>
      <c r="BC310" s="13"/>
      <c r="BD310" s="13"/>
      <c r="BE310" s="13"/>
      <c r="BF310" s="13"/>
      <c r="BG310" s="13"/>
      <c r="BH310" s="13"/>
    </row>
    <row r="311" spans="1:60" s="13" customFormat="1" x14ac:dyDescent="0.25">
      <c r="A311" s="17"/>
      <c r="B311" s="42"/>
      <c r="C311" s="43"/>
      <c r="D311" s="44"/>
      <c r="E311" s="41"/>
      <c r="F311" s="41"/>
      <c r="G311" s="41"/>
      <c r="H311" s="41"/>
      <c r="I311" s="41"/>
      <c r="J311" s="41"/>
      <c r="K311" s="41"/>
      <c r="L311" s="12"/>
      <c r="M311" s="41"/>
      <c r="N311" s="41"/>
      <c r="O311" s="41"/>
      <c r="P311" s="41"/>
      <c r="Q311" s="174"/>
      <c r="R311" s="37"/>
      <c r="S311" s="37"/>
      <c r="T311" s="40">
        <v>300000</v>
      </c>
      <c r="U311" s="113">
        <v>297000</v>
      </c>
      <c r="V311" s="15" t="s">
        <v>562</v>
      </c>
      <c r="W311" s="37"/>
    </row>
    <row r="312" spans="1:60" s="13" customFormat="1" x14ac:dyDescent="0.25">
      <c r="A312" s="17"/>
      <c r="B312" s="42"/>
      <c r="C312" s="43"/>
      <c r="D312" s="44"/>
      <c r="E312" s="41"/>
      <c r="F312" s="41"/>
      <c r="G312" s="41"/>
      <c r="H312" s="41"/>
      <c r="I312" s="41"/>
      <c r="J312" s="41"/>
      <c r="K312" s="41"/>
      <c r="L312" s="12"/>
      <c r="M312" s="41"/>
      <c r="N312" s="41"/>
      <c r="O312" s="41"/>
      <c r="P312" s="41"/>
      <c r="Q312" s="174"/>
      <c r="R312" s="37"/>
      <c r="S312" s="37"/>
      <c r="T312" s="40">
        <v>300000</v>
      </c>
      <c r="U312" s="113">
        <v>297000</v>
      </c>
      <c r="V312" s="15" t="s">
        <v>632</v>
      </c>
      <c r="W312" s="37"/>
    </row>
    <row r="313" spans="1:60" s="13" customFormat="1" x14ac:dyDescent="0.25">
      <c r="A313" s="17"/>
      <c r="B313" s="42"/>
      <c r="C313" s="43"/>
      <c r="D313" s="44"/>
      <c r="E313" s="41"/>
      <c r="F313" s="41"/>
      <c r="G313" s="41"/>
      <c r="H313" s="41"/>
      <c r="I313" s="41"/>
      <c r="J313" s="41"/>
      <c r="K313" s="41"/>
      <c r="L313" s="12"/>
      <c r="M313" s="41"/>
      <c r="N313" s="41"/>
      <c r="O313" s="41"/>
      <c r="P313" s="41"/>
      <c r="Q313" s="174"/>
      <c r="R313" s="37"/>
      <c r="S313" s="37"/>
      <c r="T313" s="40">
        <v>500000</v>
      </c>
      <c r="U313" s="113">
        <v>495000</v>
      </c>
      <c r="V313" s="15" t="s">
        <v>633</v>
      </c>
      <c r="W313" s="37"/>
    </row>
    <row r="314" spans="1:60" s="13" customFormat="1" x14ac:dyDescent="0.25">
      <c r="A314" s="295">
        <v>60075</v>
      </c>
      <c r="B314" s="296"/>
      <c r="C314" s="297"/>
      <c r="D314" s="298"/>
      <c r="E314" s="299"/>
      <c r="F314" s="299"/>
      <c r="G314" s="299"/>
      <c r="H314" s="299"/>
      <c r="I314" s="299"/>
      <c r="J314" s="299"/>
      <c r="K314" s="299"/>
      <c r="L314" s="299">
        <f>ROUND(G314*$L$7,)</f>
        <v>0</v>
      </c>
      <c r="M314" s="299"/>
      <c r="N314" s="299"/>
      <c r="O314" s="299"/>
      <c r="P314" s="299"/>
      <c r="Q314" s="300">
        <f>A314</f>
        <v>60075</v>
      </c>
      <c r="R314" s="259"/>
      <c r="S314" s="259"/>
      <c r="T314" s="259"/>
      <c r="U314" s="260"/>
      <c r="V314" s="261"/>
      <c r="W314" s="261"/>
    </row>
    <row r="315" spans="1:60" s="13" customFormat="1" ht="28.5" x14ac:dyDescent="0.25">
      <c r="A315" s="17">
        <v>2475000</v>
      </c>
      <c r="B315" s="42" t="s">
        <v>309</v>
      </c>
      <c r="C315" s="43">
        <v>45392</v>
      </c>
      <c r="D315" s="44" t="s">
        <v>520</v>
      </c>
      <c r="E315" s="41">
        <v>371250</v>
      </c>
      <c r="F315" s="41">
        <v>164522</v>
      </c>
      <c r="G315" s="220">
        <f>E315-F315</f>
        <v>206728</v>
      </c>
      <c r="H315" s="220">
        <f>G315*18%</f>
        <v>37211.040000000001</v>
      </c>
      <c r="I315" s="41">
        <f>G315+H315</f>
        <v>243939.04</v>
      </c>
      <c r="J315" s="41">
        <f>G315*1%</f>
        <v>2067.2800000000002</v>
      </c>
      <c r="K315" s="41">
        <f>G315*5%</f>
        <v>10336.400000000001</v>
      </c>
      <c r="L315" s="12">
        <f>ROUND(G315*$L$7,)</f>
        <v>0</v>
      </c>
      <c r="M315" s="41">
        <f>G315*10%</f>
        <v>20672.800000000003</v>
      </c>
      <c r="N315" s="41">
        <f>G315*18%</f>
        <v>37211.040000000001</v>
      </c>
      <c r="O315" s="41">
        <v>0</v>
      </c>
      <c r="P315" s="41">
        <f>I315-SUM(J315:O315)</f>
        <v>173651.52000000002</v>
      </c>
      <c r="Q315" s="174"/>
      <c r="R315" s="37">
        <v>2475000</v>
      </c>
      <c r="S315" s="12">
        <f>R316-SUM(T315:T319)</f>
        <v>-167500</v>
      </c>
      <c r="T315" s="40">
        <v>150000</v>
      </c>
      <c r="U315" s="113">
        <f>T315-1%*T315</f>
        <v>148500</v>
      </c>
      <c r="V315" s="15" t="s">
        <v>239</v>
      </c>
      <c r="W315" s="37"/>
    </row>
    <row r="316" spans="1:60" s="29" customFormat="1" x14ac:dyDescent="0.25">
      <c r="A316" s="17">
        <f>A315*70%</f>
        <v>1732500</v>
      </c>
      <c r="B316" s="31" t="s">
        <v>575</v>
      </c>
      <c r="C316" s="22"/>
      <c r="D316" s="32">
        <v>5</v>
      </c>
      <c r="E316" s="12">
        <f>N315</f>
        <v>37211.040000000001</v>
      </c>
      <c r="F316" s="12"/>
      <c r="G316" s="12"/>
      <c r="H316" s="12"/>
      <c r="I316" s="12"/>
      <c r="J316" s="12"/>
      <c r="K316" s="12"/>
      <c r="L316" s="12"/>
      <c r="M316" s="12"/>
      <c r="N316" s="37"/>
      <c r="O316" s="37"/>
      <c r="P316" s="12">
        <f>E316</f>
        <v>37211.040000000001</v>
      </c>
      <c r="Q316" s="174"/>
      <c r="R316" s="64">
        <f>R315*70%</f>
        <v>1732500</v>
      </c>
      <c r="S316" s="64"/>
      <c r="T316" s="40">
        <v>250000</v>
      </c>
      <c r="U316" s="113">
        <v>237500</v>
      </c>
      <c r="V316" s="15" t="s">
        <v>458</v>
      </c>
      <c r="W316" s="12">
        <f>SUM(P315:P319)-SUM(U315:U319)</f>
        <v>-600837.43999999994</v>
      </c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  <c r="AZ316" s="13"/>
      <c r="BA316" s="13"/>
      <c r="BB316" s="13"/>
      <c r="BC316" s="13"/>
      <c r="BD316" s="13"/>
      <c r="BE316" s="13"/>
      <c r="BF316" s="13"/>
      <c r="BG316" s="13"/>
      <c r="BH316" s="13"/>
    </row>
    <row r="317" spans="1:60" ht="28.5" x14ac:dyDescent="0.25">
      <c r="A317" s="17"/>
      <c r="B317" s="42" t="s">
        <v>309</v>
      </c>
      <c r="C317" s="22">
        <v>45544</v>
      </c>
      <c r="D317" s="32">
        <v>80</v>
      </c>
      <c r="E317" s="12">
        <v>990000</v>
      </c>
      <c r="F317" s="12"/>
      <c r="G317" s="220">
        <f>E317-F317</f>
        <v>990000</v>
      </c>
      <c r="H317" s="220">
        <f>G317*18%</f>
        <v>178200</v>
      </c>
      <c r="I317" s="41">
        <f>G317+H317</f>
        <v>1168200</v>
      </c>
      <c r="J317" s="41">
        <f>G317*1%</f>
        <v>9900</v>
      </c>
      <c r="K317" s="41">
        <f>G317*5%</f>
        <v>49500</v>
      </c>
      <c r="L317" s="12">
        <f>ROUND(G317*$L$7,)</f>
        <v>0</v>
      </c>
      <c r="M317" s="41"/>
      <c r="N317" s="162">
        <f>G317*18%</f>
        <v>178200</v>
      </c>
      <c r="O317" s="41">
        <f>G317*5%</f>
        <v>49500</v>
      </c>
      <c r="P317" s="41">
        <f>I317-SUM(J317:O317)</f>
        <v>881100</v>
      </c>
      <c r="Q317" s="174"/>
      <c r="R317" s="64"/>
      <c r="S317" s="64"/>
      <c r="T317" s="40">
        <v>1000000</v>
      </c>
      <c r="U317" s="113">
        <v>990000</v>
      </c>
      <c r="V317" s="15" t="s">
        <v>464</v>
      </c>
      <c r="W317" s="64"/>
    </row>
    <row r="318" spans="1:60" x14ac:dyDescent="0.25">
      <c r="A318" s="17"/>
      <c r="B318" s="31" t="s">
        <v>575</v>
      </c>
      <c r="C318" s="22"/>
      <c r="D318" s="32">
        <v>80</v>
      </c>
      <c r="E318" s="12">
        <f>N317</f>
        <v>178200</v>
      </c>
      <c r="F318" s="12"/>
      <c r="G318" s="12"/>
      <c r="H318" s="12"/>
      <c r="I318" s="12"/>
      <c r="J318" s="12"/>
      <c r="K318" s="12"/>
      <c r="L318" s="12"/>
      <c r="M318" s="12"/>
      <c r="N318" s="37"/>
      <c r="O318" s="37"/>
      <c r="P318" s="12">
        <f>E318</f>
        <v>178200</v>
      </c>
      <c r="Q318" s="174"/>
      <c r="R318" s="64"/>
      <c r="S318" s="64"/>
      <c r="T318" s="40">
        <v>500000</v>
      </c>
      <c r="U318" s="113">
        <v>495000</v>
      </c>
      <c r="V318" s="15" t="s">
        <v>484</v>
      </c>
      <c r="W318" s="64"/>
    </row>
    <row r="319" spans="1:60" x14ac:dyDescent="0.25">
      <c r="A319" s="17"/>
      <c r="B319" s="31"/>
      <c r="C319" s="22"/>
      <c r="D319" s="32"/>
      <c r="E319" s="12"/>
      <c r="F319" s="12"/>
      <c r="G319" s="12"/>
      <c r="H319" s="12"/>
      <c r="I319" s="12"/>
      <c r="J319" s="12"/>
      <c r="K319" s="12"/>
      <c r="L319" s="12"/>
      <c r="M319" s="12"/>
      <c r="N319" s="37"/>
      <c r="O319" s="37"/>
      <c r="P319" s="12"/>
      <c r="Q319" s="174"/>
      <c r="R319" s="64"/>
      <c r="S319" s="64"/>
      <c r="T319" s="64"/>
      <c r="U319" s="61"/>
      <c r="V319" s="35"/>
      <c r="W319" s="64"/>
    </row>
    <row r="320" spans="1:60" x14ac:dyDescent="0.25">
      <c r="A320" s="295">
        <v>60111</v>
      </c>
      <c r="B320" s="296"/>
      <c r="C320" s="297"/>
      <c r="D320" s="298"/>
      <c r="E320" s="299"/>
      <c r="F320" s="299"/>
      <c r="G320" s="299"/>
      <c r="H320" s="299"/>
      <c r="I320" s="299"/>
      <c r="J320" s="299"/>
      <c r="K320" s="299"/>
      <c r="L320" s="299"/>
      <c r="M320" s="299"/>
      <c r="N320" s="299"/>
      <c r="O320" s="299"/>
      <c r="P320" s="299"/>
      <c r="Q320" s="300">
        <f>A320</f>
        <v>60111</v>
      </c>
      <c r="R320" s="259"/>
      <c r="S320" s="259"/>
      <c r="T320" s="259"/>
      <c r="U320" s="260"/>
      <c r="V320" s="261"/>
      <c r="W320" s="261"/>
    </row>
    <row r="321" spans="1:23" x14ac:dyDescent="0.25">
      <c r="A321" s="17">
        <v>2475000</v>
      </c>
      <c r="B321" s="31" t="s">
        <v>308</v>
      </c>
      <c r="C321" s="22">
        <v>45233</v>
      </c>
      <c r="D321" s="32">
        <v>127</v>
      </c>
      <c r="E321" s="12">
        <v>818750</v>
      </c>
      <c r="F321" s="12">
        <v>195801.7</v>
      </c>
      <c r="G321" s="12">
        <f>E321-F321</f>
        <v>622948.30000000005</v>
      </c>
      <c r="H321" s="12">
        <f>G321*18%</f>
        <v>112130.694</v>
      </c>
      <c r="I321" s="12">
        <f>G321+H321</f>
        <v>735078.99400000006</v>
      </c>
      <c r="J321" s="12">
        <f>G321*1%</f>
        <v>6229.4830000000002</v>
      </c>
      <c r="K321" s="12">
        <f>G321*5%</f>
        <v>31147.415000000005</v>
      </c>
      <c r="L321" s="12"/>
      <c r="M321" s="12">
        <f>G321*10%</f>
        <v>62294.830000000009</v>
      </c>
      <c r="N321" s="12">
        <f>H321</f>
        <v>112130.694</v>
      </c>
      <c r="O321" s="12"/>
      <c r="P321" s="12">
        <f>I321-SUM(J321:O321)</f>
        <v>523276.57200000004</v>
      </c>
      <c r="Q321" s="438" t="s">
        <v>737</v>
      </c>
      <c r="R321" s="37">
        <v>2475000</v>
      </c>
      <c r="S321" s="12">
        <f>R321-SUM(T321:T326)</f>
        <v>-425000</v>
      </c>
      <c r="T321" s="40">
        <v>350000</v>
      </c>
      <c r="U321" s="113">
        <f t="shared" ref="U321:U323" si="60">T321-1%*T321</f>
        <v>346500</v>
      </c>
      <c r="V321" s="15" t="s">
        <v>234</v>
      </c>
      <c r="W321" s="64"/>
    </row>
    <row r="322" spans="1:23" x14ac:dyDescent="0.25">
      <c r="A322" s="17"/>
      <c r="B322" s="31" t="s">
        <v>575</v>
      </c>
      <c r="C322" s="22"/>
      <c r="D322" s="32">
        <v>127</v>
      </c>
      <c r="E322" s="12">
        <f>N321</f>
        <v>112130.694</v>
      </c>
      <c r="F322" s="12"/>
      <c r="G322" s="12"/>
      <c r="H322" s="12"/>
      <c r="I322" s="12"/>
      <c r="J322" s="12"/>
      <c r="K322" s="12"/>
      <c r="L322" s="12"/>
      <c r="M322" s="12"/>
      <c r="N322" s="37"/>
      <c r="O322" s="37"/>
      <c r="P322" s="12">
        <f>E322</f>
        <v>112130.694</v>
      </c>
      <c r="Q322" s="439"/>
      <c r="R322" s="37"/>
      <c r="S322" s="37"/>
      <c r="T322" s="40">
        <v>150000</v>
      </c>
      <c r="U322" s="113">
        <f t="shared" si="60"/>
        <v>148500</v>
      </c>
      <c r="V322" s="15" t="s">
        <v>241</v>
      </c>
      <c r="W322" s="12">
        <f>SUM(P321:P326)-SUM(U321:U326)</f>
        <v>-1513881.7339999999</v>
      </c>
    </row>
    <row r="323" spans="1:23" s="13" customFormat="1" x14ac:dyDescent="0.25">
      <c r="A323" s="17"/>
      <c r="B323" s="31" t="s">
        <v>308</v>
      </c>
      <c r="C323" s="22">
        <v>45712</v>
      </c>
      <c r="D323" s="32">
        <v>162</v>
      </c>
      <c r="E323" s="12">
        <v>990000</v>
      </c>
      <c r="F323" s="12">
        <v>0</v>
      </c>
      <c r="G323" s="220">
        <f>E323-F323</f>
        <v>990000</v>
      </c>
      <c r="H323" s="220">
        <f>G323*18%</f>
        <v>178200</v>
      </c>
      <c r="I323" s="12">
        <f>G323+H323</f>
        <v>1168200</v>
      </c>
      <c r="J323" s="12">
        <f>G323*1%</f>
        <v>9900</v>
      </c>
      <c r="K323" s="12">
        <f>G323*5%</f>
        <v>49500</v>
      </c>
      <c r="L323" s="12"/>
      <c r="M323" s="12">
        <v>0</v>
      </c>
      <c r="N323" s="12">
        <f>H323</f>
        <v>178200</v>
      </c>
      <c r="O323" s="12">
        <v>208889</v>
      </c>
      <c r="P323" s="12">
        <f>I323-SUM(J323:O323)</f>
        <v>721711</v>
      </c>
      <c r="Q323" s="37"/>
      <c r="R323" s="37"/>
      <c r="S323" s="37"/>
      <c r="T323" s="40">
        <v>400000</v>
      </c>
      <c r="U323" s="113">
        <f t="shared" si="60"/>
        <v>396000</v>
      </c>
      <c r="V323" s="15" t="s">
        <v>292</v>
      </c>
      <c r="W323" s="37"/>
    </row>
    <row r="324" spans="1:23" s="13" customFormat="1" x14ac:dyDescent="0.25">
      <c r="A324" s="17"/>
      <c r="B324" s="31"/>
      <c r="C324" s="22"/>
      <c r="D324" s="3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41"/>
      <c r="P324" s="12"/>
      <c r="Q324" s="37"/>
      <c r="R324" s="37"/>
      <c r="S324" s="37"/>
      <c r="T324" s="40">
        <v>1000000</v>
      </c>
      <c r="U324" s="113">
        <v>990000</v>
      </c>
      <c r="V324" s="15" t="s">
        <v>463</v>
      </c>
      <c r="W324" s="37"/>
    </row>
    <row r="325" spans="1:23" s="13" customFormat="1" x14ac:dyDescent="0.25">
      <c r="A325" s="17"/>
      <c r="B325" s="31"/>
      <c r="C325" s="22"/>
      <c r="D325" s="3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41"/>
      <c r="P325" s="12"/>
      <c r="Q325" s="37"/>
      <c r="R325" s="37"/>
      <c r="S325" s="37"/>
      <c r="T325" s="40">
        <v>500000</v>
      </c>
      <c r="U325" s="113">
        <v>495000</v>
      </c>
      <c r="V325" s="15" t="s">
        <v>629</v>
      </c>
      <c r="W325" s="37"/>
    </row>
    <row r="326" spans="1:23" s="13" customFormat="1" x14ac:dyDescent="0.25">
      <c r="A326" s="17"/>
      <c r="B326" s="31"/>
      <c r="C326" s="22"/>
      <c r="D326" s="3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41"/>
      <c r="P326" s="12"/>
      <c r="Q326" s="37"/>
      <c r="R326" s="37"/>
      <c r="S326" s="37"/>
      <c r="T326" s="40">
        <v>500000</v>
      </c>
      <c r="U326" s="113">
        <v>495000</v>
      </c>
      <c r="V326" s="15" t="s">
        <v>636</v>
      </c>
      <c r="W326" s="37"/>
    </row>
    <row r="327" spans="1:23" s="13" customFormat="1" x14ac:dyDescent="0.25">
      <c r="A327" s="295">
        <v>60114</v>
      </c>
      <c r="B327" s="296"/>
      <c r="C327" s="297"/>
      <c r="D327" s="298"/>
      <c r="E327" s="299"/>
      <c r="F327" s="299"/>
      <c r="G327" s="299"/>
      <c r="H327" s="299"/>
      <c r="I327" s="299"/>
      <c r="J327" s="299"/>
      <c r="K327" s="299"/>
      <c r="L327" s="299"/>
      <c r="M327" s="299"/>
      <c r="N327" s="299"/>
      <c r="O327" s="299"/>
      <c r="P327" s="299"/>
      <c r="Q327" s="300">
        <f>A327</f>
        <v>60114</v>
      </c>
      <c r="R327" s="259"/>
      <c r="S327" s="259"/>
      <c r="T327" s="259"/>
      <c r="U327" s="260"/>
      <c r="V327" s="261"/>
      <c r="W327" s="261"/>
    </row>
    <row r="328" spans="1:23" s="13" customFormat="1" x14ac:dyDescent="0.25">
      <c r="A328" s="17">
        <v>4095000</v>
      </c>
      <c r="B328" s="42" t="s">
        <v>306</v>
      </c>
      <c r="C328" s="43">
        <v>45404</v>
      </c>
      <c r="D328" s="44" t="s">
        <v>522</v>
      </c>
      <c r="E328" s="41">
        <v>1023750</v>
      </c>
      <c r="F328" s="41">
        <v>338216</v>
      </c>
      <c r="G328" s="220">
        <f>E328-F328</f>
        <v>685534</v>
      </c>
      <c r="H328" s="220">
        <f>G328*18%</f>
        <v>123396.12</v>
      </c>
      <c r="I328" s="41">
        <f>G328+H328</f>
        <v>808930.12</v>
      </c>
      <c r="J328" s="41">
        <f>G328*1%</f>
        <v>6855.34</v>
      </c>
      <c r="K328" s="41">
        <f>G328*5%</f>
        <v>34276.700000000004</v>
      </c>
      <c r="L328" s="12"/>
      <c r="M328" s="41">
        <f>G328*10%</f>
        <v>68553.400000000009</v>
      </c>
      <c r="N328" s="227">
        <f>H328</f>
        <v>123396.12</v>
      </c>
      <c r="O328" s="41"/>
      <c r="P328" s="41">
        <f>G328-J328-K328-M328</f>
        <v>575848.56000000006</v>
      </c>
      <c r="Q328" s="174"/>
      <c r="R328" s="37">
        <v>4095000</v>
      </c>
      <c r="S328" s="12">
        <f>R328-SUM(T328:T337)</f>
        <v>45000</v>
      </c>
      <c r="T328" s="40">
        <v>550000</v>
      </c>
      <c r="U328" s="113">
        <f t="shared" ref="U328:U330" si="61">T328-1%*T328</f>
        <v>544500</v>
      </c>
      <c r="V328" s="28" t="s">
        <v>228</v>
      </c>
      <c r="W328" s="37"/>
    </row>
    <row r="329" spans="1:23" s="13" customFormat="1" x14ac:dyDescent="0.25">
      <c r="A329" s="59"/>
      <c r="B329" s="42" t="s">
        <v>306</v>
      </c>
      <c r="C329" s="43">
        <v>45471</v>
      </c>
      <c r="D329" s="44" t="s">
        <v>521</v>
      </c>
      <c r="E329" s="41">
        <v>614250</v>
      </c>
      <c r="F329" s="41">
        <v>0</v>
      </c>
      <c r="G329" s="220">
        <f>E329-F329</f>
        <v>614250</v>
      </c>
      <c r="H329" s="220">
        <f>G329*18%</f>
        <v>110565</v>
      </c>
      <c r="I329" s="41">
        <f>G329+H329</f>
        <v>724815</v>
      </c>
      <c r="J329" s="41">
        <f>G329*1%</f>
        <v>6142.5</v>
      </c>
      <c r="K329" s="41">
        <f>G329*5%</f>
        <v>30712.5</v>
      </c>
      <c r="L329" s="12"/>
      <c r="M329" s="41">
        <v>0</v>
      </c>
      <c r="N329" s="227">
        <f>H329</f>
        <v>110565</v>
      </c>
      <c r="O329" s="41">
        <v>204750</v>
      </c>
      <c r="P329" s="41">
        <f>G329-J329-K329-M329-O329</f>
        <v>372645</v>
      </c>
      <c r="Q329" s="174"/>
      <c r="R329" s="37"/>
      <c r="S329" s="37"/>
      <c r="T329" s="40">
        <v>500000</v>
      </c>
      <c r="U329" s="113">
        <f t="shared" si="61"/>
        <v>495000</v>
      </c>
      <c r="V329" s="28" t="s">
        <v>260</v>
      </c>
      <c r="W329" s="12">
        <f>SUM(P328:P337)-SUM(U328:U337)</f>
        <v>-1106648.3199999998</v>
      </c>
    </row>
    <row r="330" spans="1:23" s="13" customFormat="1" x14ac:dyDescent="0.25">
      <c r="A330" s="59"/>
      <c r="B330" s="42" t="s">
        <v>575</v>
      </c>
      <c r="C330" s="43"/>
      <c r="D330" s="44" t="s">
        <v>598</v>
      </c>
      <c r="E330" s="41">
        <f>SUM(N328:N329)</f>
        <v>233961.12</v>
      </c>
      <c r="F330" s="41"/>
      <c r="G330" s="41"/>
      <c r="H330" s="41"/>
      <c r="I330" s="41"/>
      <c r="J330" s="41"/>
      <c r="K330" s="41"/>
      <c r="L330" s="12"/>
      <c r="M330" s="41"/>
      <c r="N330" s="41"/>
      <c r="O330" s="41"/>
      <c r="P330" s="41">
        <f>E330</f>
        <v>233961.12</v>
      </c>
      <c r="Q330" s="174"/>
      <c r="R330" s="37"/>
      <c r="S330" s="37"/>
      <c r="T330" s="40">
        <v>500000</v>
      </c>
      <c r="U330" s="113">
        <f t="shared" si="61"/>
        <v>495000</v>
      </c>
      <c r="V330" s="28" t="s">
        <v>276</v>
      </c>
      <c r="W330" s="37"/>
    </row>
    <row r="331" spans="1:23" s="13" customFormat="1" x14ac:dyDescent="0.25">
      <c r="A331" s="59"/>
      <c r="B331" s="42" t="s">
        <v>306</v>
      </c>
      <c r="C331" s="43">
        <v>45544</v>
      </c>
      <c r="D331" s="44">
        <v>82</v>
      </c>
      <c r="E331" s="41">
        <v>1228500</v>
      </c>
      <c r="F331" s="41"/>
      <c r="G331" s="220">
        <f>E331-F331</f>
        <v>1228500</v>
      </c>
      <c r="H331" s="220">
        <f>G331*18%</f>
        <v>221130</v>
      </c>
      <c r="I331" s="41">
        <f>G331+H331</f>
        <v>1449630</v>
      </c>
      <c r="J331" s="41">
        <f>G331*1%</f>
        <v>12285</v>
      </c>
      <c r="K331" s="41">
        <f>G331*5%</f>
        <v>61425</v>
      </c>
      <c r="L331" s="12"/>
      <c r="M331" s="41"/>
      <c r="N331" s="162">
        <f>H331</f>
        <v>221130</v>
      </c>
      <c r="O331" s="41"/>
      <c r="P331" s="41">
        <f>G331-J331-K331-M331-O331</f>
        <v>1154790</v>
      </c>
      <c r="Q331" s="174"/>
      <c r="R331" s="37"/>
      <c r="S331" s="37"/>
      <c r="T331" s="40">
        <v>500000</v>
      </c>
      <c r="U331" s="113">
        <v>495000</v>
      </c>
      <c r="V331" s="28" t="s">
        <v>470</v>
      </c>
      <c r="W331" s="37"/>
    </row>
    <row r="332" spans="1:23" s="13" customFormat="1" x14ac:dyDescent="0.25">
      <c r="A332" s="59"/>
      <c r="B332" s="42" t="s">
        <v>575</v>
      </c>
      <c r="C332" s="43"/>
      <c r="D332" s="44">
        <v>82</v>
      </c>
      <c r="E332" s="41">
        <f>SUM(N331)</f>
        <v>221130</v>
      </c>
      <c r="F332" s="41"/>
      <c r="G332" s="41"/>
      <c r="H332" s="41"/>
      <c r="I332" s="41"/>
      <c r="J332" s="41"/>
      <c r="K332" s="41"/>
      <c r="L332" s="12"/>
      <c r="M332" s="41"/>
      <c r="N332" s="41"/>
      <c r="O332" s="41"/>
      <c r="P332" s="41">
        <f>E332</f>
        <v>221130</v>
      </c>
      <c r="Q332" s="174"/>
      <c r="R332" s="37"/>
      <c r="S332" s="37"/>
      <c r="T332" s="40">
        <v>500000</v>
      </c>
      <c r="U332" s="113">
        <v>495000</v>
      </c>
      <c r="V332" s="28" t="s">
        <v>482</v>
      </c>
      <c r="W332" s="37"/>
    </row>
    <row r="333" spans="1:23" s="13" customFormat="1" x14ac:dyDescent="0.25">
      <c r="A333" s="59"/>
      <c r="B333" s="42" t="s">
        <v>306</v>
      </c>
      <c r="C333" s="43">
        <v>45710</v>
      </c>
      <c r="D333" s="44">
        <v>136</v>
      </c>
      <c r="E333" s="41">
        <v>614250</v>
      </c>
      <c r="F333" s="41"/>
      <c r="G333" s="220">
        <f>E333-F333</f>
        <v>614250</v>
      </c>
      <c r="H333" s="220">
        <f>G333*18%</f>
        <v>110565</v>
      </c>
      <c r="I333" s="41">
        <f>G333+H333</f>
        <v>724815</v>
      </c>
      <c r="J333" s="41">
        <f>G333*1%</f>
        <v>6142.5</v>
      </c>
      <c r="K333" s="41">
        <f>G333*5%</f>
        <v>30712.5</v>
      </c>
      <c r="L333" s="12"/>
      <c r="M333" s="41"/>
      <c r="N333" s="162">
        <f>H333</f>
        <v>110565</v>
      </c>
      <c r="O333" s="41">
        <v>232918</v>
      </c>
      <c r="P333" s="41">
        <f>G333-J333-K333-M333-O333</f>
        <v>344477</v>
      </c>
      <c r="Q333" s="174"/>
      <c r="R333" s="37"/>
      <c r="S333" s="37"/>
      <c r="T333" s="40">
        <v>300000</v>
      </c>
      <c r="U333" s="113">
        <v>297000</v>
      </c>
      <c r="V333" s="28" t="s">
        <v>496</v>
      </c>
      <c r="W333" s="37"/>
    </row>
    <row r="334" spans="1:23" s="13" customFormat="1" x14ac:dyDescent="0.25">
      <c r="A334" s="59"/>
      <c r="B334" s="42"/>
      <c r="C334" s="43"/>
      <c r="D334" s="44"/>
      <c r="E334" s="41"/>
      <c r="F334" s="41"/>
      <c r="G334" s="41"/>
      <c r="H334" s="41"/>
      <c r="I334" s="41"/>
      <c r="J334" s="41"/>
      <c r="K334" s="41"/>
      <c r="L334" s="12"/>
      <c r="M334" s="41"/>
      <c r="N334" s="41"/>
      <c r="O334" s="41"/>
      <c r="P334" s="41"/>
      <c r="Q334" s="174"/>
      <c r="R334" s="37"/>
      <c r="S334" s="37"/>
      <c r="T334" s="40">
        <v>500000</v>
      </c>
      <c r="U334" s="113">
        <v>495000</v>
      </c>
      <c r="V334" s="28" t="s">
        <v>541</v>
      </c>
      <c r="W334" s="37"/>
    </row>
    <row r="335" spans="1:23" s="13" customFormat="1" x14ac:dyDescent="0.25">
      <c r="A335" s="59"/>
      <c r="B335" s="42"/>
      <c r="C335" s="43"/>
      <c r="D335" s="44"/>
      <c r="E335" s="41"/>
      <c r="F335" s="41"/>
      <c r="G335" s="41"/>
      <c r="H335" s="41"/>
      <c r="I335" s="41"/>
      <c r="J335" s="41"/>
      <c r="K335" s="41"/>
      <c r="L335" s="12"/>
      <c r="M335" s="41"/>
      <c r="N335" s="41"/>
      <c r="O335" s="41"/>
      <c r="P335" s="41"/>
      <c r="Q335" s="174"/>
      <c r="R335" s="37"/>
      <c r="S335" s="37"/>
      <c r="T335" s="40">
        <v>200000</v>
      </c>
      <c r="U335" s="113">
        <v>198000</v>
      </c>
      <c r="V335" s="28" t="s">
        <v>559</v>
      </c>
      <c r="W335" s="37"/>
    </row>
    <row r="336" spans="1:23" s="13" customFormat="1" x14ac:dyDescent="0.25">
      <c r="A336" s="59"/>
      <c r="B336" s="42"/>
      <c r="C336" s="43"/>
      <c r="D336" s="44"/>
      <c r="E336" s="41"/>
      <c r="F336" s="41"/>
      <c r="G336" s="41"/>
      <c r="H336" s="41"/>
      <c r="I336" s="41"/>
      <c r="J336" s="41"/>
      <c r="K336" s="41"/>
      <c r="L336" s="12"/>
      <c r="M336" s="41"/>
      <c r="N336" s="41"/>
      <c r="O336" s="41"/>
      <c r="P336" s="41"/>
      <c r="Q336" s="174"/>
      <c r="R336" s="37"/>
      <c r="S336" s="37"/>
      <c r="T336" s="40">
        <v>200000</v>
      </c>
      <c r="U336" s="113">
        <v>198000</v>
      </c>
      <c r="V336" s="28" t="s">
        <v>613</v>
      </c>
      <c r="W336" s="37"/>
    </row>
    <row r="337" spans="1:60" s="13" customFormat="1" x14ac:dyDescent="0.25">
      <c r="A337" s="59"/>
      <c r="B337" s="42"/>
      <c r="C337" s="43"/>
      <c r="D337" s="44"/>
      <c r="E337" s="41"/>
      <c r="F337" s="41"/>
      <c r="G337" s="41"/>
      <c r="H337" s="41"/>
      <c r="I337" s="41"/>
      <c r="J337" s="41"/>
      <c r="K337" s="41"/>
      <c r="L337" s="12"/>
      <c r="M337" s="41"/>
      <c r="N337" s="41"/>
      <c r="O337" s="41"/>
      <c r="P337" s="41"/>
      <c r="Q337" s="174"/>
      <c r="R337" s="37"/>
      <c r="S337" s="37"/>
      <c r="T337" s="40">
        <v>300000</v>
      </c>
      <c r="U337" s="113">
        <v>297000</v>
      </c>
      <c r="V337" s="28" t="s">
        <v>726</v>
      </c>
      <c r="W337" s="37"/>
    </row>
    <row r="338" spans="1:60" s="13" customFormat="1" x14ac:dyDescent="0.25">
      <c r="A338" s="295">
        <v>60115</v>
      </c>
      <c r="B338" s="296"/>
      <c r="C338" s="297"/>
      <c r="D338" s="298"/>
      <c r="E338" s="299"/>
      <c r="F338" s="299"/>
      <c r="G338" s="299"/>
      <c r="H338" s="299"/>
      <c r="I338" s="299"/>
      <c r="J338" s="299"/>
      <c r="K338" s="299"/>
      <c r="L338" s="299"/>
      <c r="M338" s="299"/>
      <c r="N338" s="299"/>
      <c r="O338" s="299"/>
      <c r="P338" s="299"/>
      <c r="Q338" s="300">
        <f>A338</f>
        <v>60115</v>
      </c>
      <c r="R338" s="259"/>
      <c r="S338" s="259"/>
      <c r="T338" s="259"/>
      <c r="U338" s="260"/>
      <c r="V338" s="261"/>
      <c r="W338" s="261"/>
    </row>
    <row r="339" spans="1:60" s="13" customFormat="1" x14ac:dyDescent="0.25">
      <c r="A339" s="17">
        <v>2475000</v>
      </c>
      <c r="B339" s="42" t="s">
        <v>302</v>
      </c>
      <c r="C339" s="43">
        <v>45397</v>
      </c>
      <c r="D339" s="44" t="s">
        <v>523</v>
      </c>
      <c r="E339" s="41">
        <v>618750</v>
      </c>
      <c r="F339" s="41">
        <v>297171</v>
      </c>
      <c r="G339" s="220">
        <f>E339-F339</f>
        <v>321579</v>
      </c>
      <c r="H339" s="220">
        <f>G339*18%</f>
        <v>57884.22</v>
      </c>
      <c r="I339" s="41">
        <f>G339+H339</f>
        <v>379463.22</v>
      </c>
      <c r="J339" s="41">
        <f>G339*1%</f>
        <v>3215.79</v>
      </c>
      <c r="K339" s="41">
        <f>G339*5%</f>
        <v>16078.95</v>
      </c>
      <c r="L339" s="12"/>
      <c r="M339" s="41">
        <f>G339*10%</f>
        <v>32157.9</v>
      </c>
      <c r="N339" s="227">
        <f>H339</f>
        <v>57884.22</v>
      </c>
      <c r="O339" s="41"/>
      <c r="P339" s="41">
        <f>G339-J339-K339-M339</f>
        <v>270126.36</v>
      </c>
      <c r="Q339" s="174"/>
      <c r="R339" s="37">
        <v>2475000</v>
      </c>
      <c r="S339" s="12">
        <f>R339-SUM(T339:T346)</f>
        <v>-75000</v>
      </c>
      <c r="T339" s="40">
        <v>350000</v>
      </c>
      <c r="U339" s="113">
        <f t="shared" ref="U339:U340" si="62">T339-1%*T339</f>
        <v>346500</v>
      </c>
      <c r="V339" s="28" t="s">
        <v>268</v>
      </c>
      <c r="W339" s="37"/>
    </row>
    <row r="340" spans="1:60" s="13" customFormat="1" x14ac:dyDescent="0.25">
      <c r="A340" s="59"/>
      <c r="B340" s="42" t="s">
        <v>302</v>
      </c>
      <c r="C340" s="43">
        <v>45435</v>
      </c>
      <c r="D340" s="44" t="s">
        <v>524</v>
      </c>
      <c r="E340" s="41">
        <v>371250</v>
      </c>
      <c r="F340" s="41">
        <v>164908</v>
      </c>
      <c r="G340" s="220">
        <f>E340-F340</f>
        <v>206342</v>
      </c>
      <c r="H340" s="220">
        <f>G340*18%</f>
        <v>37141.56</v>
      </c>
      <c r="I340" s="41">
        <f>G340+H340</f>
        <v>243483.56</v>
      </c>
      <c r="J340" s="41">
        <f>G340*1%</f>
        <v>2063.42</v>
      </c>
      <c r="K340" s="41">
        <f>G340*5%</f>
        <v>10317.1</v>
      </c>
      <c r="L340" s="12"/>
      <c r="M340" s="41">
        <f>G340*10%</f>
        <v>20634.2</v>
      </c>
      <c r="N340" s="227">
        <f>H340</f>
        <v>37141.56</v>
      </c>
      <c r="O340" s="41"/>
      <c r="P340" s="41">
        <f>G340-J340-K340-M340</f>
        <v>173327.27999999997</v>
      </c>
      <c r="Q340" s="174"/>
      <c r="R340" s="37"/>
      <c r="S340" s="37"/>
      <c r="T340" s="40">
        <v>500000</v>
      </c>
      <c r="U340" s="113">
        <f t="shared" si="62"/>
        <v>495000</v>
      </c>
      <c r="V340" s="28" t="s">
        <v>267</v>
      </c>
      <c r="W340" s="12">
        <f>SUM(P339:P346)-SUM(U339:U346)</f>
        <v>-992877.73200000008</v>
      </c>
    </row>
    <row r="341" spans="1:60" s="13" customFormat="1" x14ac:dyDescent="0.25">
      <c r="A341" s="59"/>
      <c r="B341" s="42" t="s">
        <v>302</v>
      </c>
      <c r="C341" s="43">
        <v>45534</v>
      </c>
      <c r="D341" s="44">
        <v>53</v>
      </c>
      <c r="E341" s="41">
        <v>1113750</v>
      </c>
      <c r="F341" s="41">
        <v>179328.24</v>
      </c>
      <c r="G341" s="220">
        <f>E341-F341</f>
        <v>934421.76</v>
      </c>
      <c r="H341" s="220">
        <f>G341*18%</f>
        <v>168195.91680000001</v>
      </c>
      <c r="I341" s="41">
        <f>G341+H341</f>
        <v>1102617.6768</v>
      </c>
      <c r="J341" s="41">
        <f>G341*1%</f>
        <v>9344.2175999999999</v>
      </c>
      <c r="K341" s="41">
        <f>G341*5%</f>
        <v>46721.088000000003</v>
      </c>
      <c r="L341" s="12"/>
      <c r="M341" s="41"/>
      <c r="N341" s="41">
        <f>H341</f>
        <v>168195.91680000001</v>
      </c>
      <c r="O341" s="41">
        <f>G341*7%</f>
        <v>65409.523200000003</v>
      </c>
      <c r="P341" s="41">
        <f>I341-SUM(J341:O341)</f>
        <v>812946.93119999999</v>
      </c>
      <c r="Q341" s="174"/>
      <c r="R341" s="37"/>
      <c r="S341" s="37"/>
      <c r="T341" s="40">
        <v>200000</v>
      </c>
      <c r="U341" s="113">
        <v>198000</v>
      </c>
      <c r="V341" s="28" t="s">
        <v>386</v>
      </c>
      <c r="W341" s="37"/>
    </row>
    <row r="342" spans="1:60" s="13" customFormat="1" x14ac:dyDescent="0.25">
      <c r="A342" s="59"/>
      <c r="B342" s="42" t="s">
        <v>575</v>
      </c>
      <c r="C342" s="43"/>
      <c r="D342" s="44" t="s">
        <v>660</v>
      </c>
      <c r="E342" s="41">
        <f>H341+H340+H339</f>
        <v>263221.69680000003</v>
      </c>
      <c r="F342" s="41"/>
      <c r="G342" s="41"/>
      <c r="H342" s="41"/>
      <c r="I342" s="41"/>
      <c r="J342" s="41"/>
      <c r="K342" s="41"/>
      <c r="L342" s="12"/>
      <c r="M342" s="41"/>
      <c r="N342" s="41"/>
      <c r="O342" s="41"/>
      <c r="P342" s="41">
        <f>E342</f>
        <v>263221.69680000003</v>
      </c>
      <c r="Q342" s="174"/>
      <c r="R342" s="37"/>
      <c r="S342" s="37"/>
      <c r="T342" s="40">
        <v>300000</v>
      </c>
      <c r="U342" s="113">
        <v>285000</v>
      </c>
      <c r="V342" s="28" t="s">
        <v>398</v>
      </c>
      <c r="W342" s="37"/>
    </row>
    <row r="343" spans="1:60" s="29" customFormat="1" x14ac:dyDescent="0.25">
      <c r="A343" s="59"/>
      <c r="B343" s="42"/>
      <c r="C343" s="43"/>
      <c r="D343" s="44"/>
      <c r="E343" s="41"/>
      <c r="F343" s="41"/>
      <c r="G343" s="41"/>
      <c r="H343" s="41"/>
      <c r="I343" s="41"/>
      <c r="J343" s="41"/>
      <c r="K343" s="41"/>
      <c r="L343" s="12"/>
      <c r="M343" s="41"/>
      <c r="N343" s="41"/>
      <c r="O343" s="41"/>
      <c r="P343" s="41"/>
      <c r="Q343" s="174"/>
      <c r="R343" s="37"/>
      <c r="S343" s="37"/>
      <c r="T343" s="40">
        <v>500000</v>
      </c>
      <c r="U343" s="113">
        <v>495000</v>
      </c>
      <c r="V343" s="28" t="s">
        <v>474</v>
      </c>
      <c r="W343" s="37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3"/>
      <c r="AI343" s="13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  <c r="AZ343" s="13"/>
      <c r="BA343" s="13"/>
      <c r="BB343" s="13"/>
      <c r="BC343" s="13"/>
      <c r="BD343" s="13"/>
      <c r="BE343" s="13"/>
      <c r="BF343" s="13"/>
      <c r="BG343" s="13"/>
      <c r="BH343" s="13"/>
    </row>
    <row r="344" spans="1:60" s="13" customFormat="1" x14ac:dyDescent="0.25">
      <c r="A344" s="59"/>
      <c r="B344" s="42"/>
      <c r="C344" s="43"/>
      <c r="D344" s="44"/>
      <c r="E344" s="41"/>
      <c r="F344" s="41"/>
      <c r="G344" s="41"/>
      <c r="H344" s="41"/>
      <c r="I344" s="41"/>
      <c r="J344" s="41"/>
      <c r="K344" s="41"/>
      <c r="L344" s="12"/>
      <c r="M344" s="41"/>
      <c r="N344" s="41"/>
      <c r="O344" s="41"/>
      <c r="P344" s="41"/>
      <c r="Q344" s="174"/>
      <c r="R344" s="37"/>
      <c r="S344" s="37"/>
      <c r="T344" s="40">
        <v>400000</v>
      </c>
      <c r="U344" s="113">
        <v>396000</v>
      </c>
      <c r="V344" s="28" t="s">
        <v>602</v>
      </c>
      <c r="W344" s="37"/>
    </row>
    <row r="345" spans="1:60" s="13" customFormat="1" x14ac:dyDescent="0.25">
      <c r="A345" s="59"/>
      <c r="B345" s="42"/>
      <c r="C345" s="43"/>
      <c r="D345" s="44"/>
      <c r="E345" s="41"/>
      <c r="F345" s="41"/>
      <c r="G345" s="41"/>
      <c r="H345" s="41"/>
      <c r="I345" s="41"/>
      <c r="J345" s="41"/>
      <c r="K345" s="41"/>
      <c r="L345" s="12"/>
      <c r="M345" s="41"/>
      <c r="N345" s="41"/>
      <c r="O345" s="41"/>
      <c r="P345" s="41"/>
      <c r="Q345" s="174"/>
      <c r="R345" s="37"/>
      <c r="S345" s="37"/>
      <c r="T345" s="40">
        <v>300000</v>
      </c>
      <c r="U345" s="113">
        <v>297000</v>
      </c>
      <c r="V345" s="28" t="s">
        <v>608</v>
      </c>
      <c r="W345" s="37"/>
    </row>
    <row r="346" spans="1:60" s="13" customFormat="1" x14ac:dyDescent="0.25">
      <c r="A346" s="59"/>
      <c r="B346" s="42"/>
      <c r="C346" s="43"/>
      <c r="D346" s="44"/>
      <c r="E346" s="41"/>
      <c r="F346" s="41"/>
      <c r="G346" s="41"/>
      <c r="H346" s="41"/>
      <c r="I346" s="41"/>
      <c r="J346" s="41"/>
      <c r="K346" s="41"/>
      <c r="L346" s="12"/>
      <c r="M346" s="41"/>
      <c r="N346" s="41"/>
      <c r="O346" s="41"/>
      <c r="P346" s="41"/>
      <c r="Q346" s="174"/>
      <c r="R346" s="37"/>
      <c r="S346" s="37"/>
      <c r="T346" s="37"/>
      <c r="U346" s="61"/>
      <c r="V346" s="27"/>
      <c r="W346" s="37"/>
    </row>
    <row r="347" spans="1:60" s="13" customFormat="1" x14ac:dyDescent="0.25">
      <c r="A347" s="295">
        <v>60430</v>
      </c>
      <c r="B347" s="296"/>
      <c r="C347" s="297"/>
      <c r="D347" s="298"/>
      <c r="E347" s="299"/>
      <c r="F347" s="299"/>
      <c r="G347" s="299"/>
      <c r="H347" s="299"/>
      <c r="I347" s="299"/>
      <c r="J347" s="299"/>
      <c r="K347" s="299"/>
      <c r="L347" s="299"/>
      <c r="M347" s="299"/>
      <c r="N347" s="299"/>
      <c r="O347" s="299"/>
      <c r="P347" s="299"/>
      <c r="Q347" s="300">
        <f>A347</f>
        <v>60430</v>
      </c>
      <c r="R347" s="259"/>
      <c r="S347" s="259"/>
      <c r="T347" s="259"/>
      <c r="U347" s="260"/>
      <c r="V347" s="261"/>
      <c r="W347" s="261"/>
    </row>
    <row r="348" spans="1:60" s="13" customFormat="1" x14ac:dyDescent="0.25">
      <c r="A348" s="17">
        <v>2475000</v>
      </c>
      <c r="B348" s="42" t="s">
        <v>305</v>
      </c>
      <c r="C348" s="43">
        <v>45421</v>
      </c>
      <c r="D348" s="44" t="s">
        <v>525</v>
      </c>
      <c r="E348" s="41">
        <v>618750</v>
      </c>
      <c r="F348" s="41">
        <v>213551</v>
      </c>
      <c r="G348" s="220">
        <f>E348-F348</f>
        <v>405199</v>
      </c>
      <c r="H348" s="220">
        <f>G348*18%</f>
        <v>72935.819999999992</v>
      </c>
      <c r="I348" s="41">
        <f>G348+H348</f>
        <v>478134.82</v>
      </c>
      <c r="J348" s="41">
        <f>G348*1%</f>
        <v>4051.9900000000002</v>
      </c>
      <c r="K348" s="41">
        <f>G348*5%</f>
        <v>20259.95</v>
      </c>
      <c r="L348" s="12"/>
      <c r="M348" s="41">
        <f>G348*10%</f>
        <v>40519.9</v>
      </c>
      <c r="N348" s="227">
        <f>H348</f>
        <v>72935.819999999992</v>
      </c>
      <c r="O348" s="41"/>
      <c r="P348" s="41">
        <f>G348-J348-K348-M348</f>
        <v>340367.16</v>
      </c>
      <c r="Q348" s="174"/>
      <c r="R348" s="37">
        <v>2475000</v>
      </c>
      <c r="S348" s="12">
        <f>R348-SUM(T348:T354)</f>
        <v>75000</v>
      </c>
      <c r="T348" s="40">
        <v>300000</v>
      </c>
      <c r="U348" s="113">
        <f t="shared" ref="U348:U349" si="63">T348-1%*T348</f>
        <v>297000</v>
      </c>
      <c r="V348" s="15" t="s">
        <v>245</v>
      </c>
      <c r="W348" s="37"/>
    </row>
    <row r="349" spans="1:60" s="13" customFormat="1" x14ac:dyDescent="0.25">
      <c r="A349" s="59"/>
      <c r="B349" s="42" t="s">
        <v>305</v>
      </c>
      <c r="C349" s="43">
        <v>45325</v>
      </c>
      <c r="D349" s="44">
        <v>181</v>
      </c>
      <c r="E349" s="41">
        <v>371250</v>
      </c>
      <c r="F349" s="41">
        <v>0</v>
      </c>
      <c r="G349" s="220">
        <f>E349-F349</f>
        <v>371250</v>
      </c>
      <c r="H349" s="220">
        <f>G349*18%</f>
        <v>66825</v>
      </c>
      <c r="I349" s="41">
        <f>G349+H349</f>
        <v>438075</v>
      </c>
      <c r="J349" s="41">
        <f>G349*1%</f>
        <v>3712.5</v>
      </c>
      <c r="K349" s="41">
        <f>G349*5%</f>
        <v>18562.5</v>
      </c>
      <c r="L349" s="12"/>
      <c r="M349" s="41">
        <v>0</v>
      </c>
      <c r="N349" s="227">
        <f>H349</f>
        <v>66825</v>
      </c>
      <c r="O349" s="41">
        <v>123750</v>
      </c>
      <c r="P349" s="41">
        <f>G349-J349-K349-M349-O349</f>
        <v>225225</v>
      </c>
      <c r="Q349" s="174"/>
      <c r="R349" s="37"/>
      <c r="S349" s="37"/>
      <c r="T349" s="40">
        <v>500000</v>
      </c>
      <c r="U349" s="113">
        <f t="shared" si="63"/>
        <v>495000</v>
      </c>
      <c r="V349" s="15" t="s">
        <v>262</v>
      </c>
      <c r="W349" s="12">
        <f>SUM(P348:P354)-SUM(U348:U354)</f>
        <v>-653222.02</v>
      </c>
    </row>
    <row r="350" spans="1:60" s="13" customFormat="1" x14ac:dyDescent="0.25">
      <c r="A350" s="59"/>
      <c r="B350" s="31" t="s">
        <v>575</v>
      </c>
      <c r="C350" s="22"/>
      <c r="D350" s="32" t="s">
        <v>662</v>
      </c>
      <c r="E350" s="12">
        <f>N348+N349</f>
        <v>139760.82</v>
      </c>
      <c r="F350" s="12"/>
      <c r="G350" s="12"/>
      <c r="H350" s="12"/>
      <c r="I350" s="12"/>
      <c r="J350" s="12"/>
      <c r="K350" s="12"/>
      <c r="L350" s="12"/>
      <c r="M350" s="12"/>
      <c r="N350" s="37"/>
      <c r="O350" s="37"/>
      <c r="P350" s="12">
        <f>E350</f>
        <v>139760.82</v>
      </c>
      <c r="Q350" s="174"/>
      <c r="R350" s="37"/>
      <c r="S350" s="37"/>
      <c r="T350" s="40">
        <v>500000</v>
      </c>
      <c r="U350" s="113">
        <v>475000</v>
      </c>
      <c r="V350" s="15" t="s">
        <v>397</v>
      </c>
      <c r="W350" s="37"/>
    </row>
    <row r="351" spans="1:60" s="29" customFormat="1" x14ac:dyDescent="0.25">
      <c r="A351" s="59"/>
      <c r="B351" s="42" t="s">
        <v>305</v>
      </c>
      <c r="C351" s="43">
        <v>45633</v>
      </c>
      <c r="D351" s="44">
        <v>97</v>
      </c>
      <c r="E351" s="41">
        <v>371250</v>
      </c>
      <c r="F351" s="41">
        <v>0</v>
      </c>
      <c r="G351" s="220">
        <f>E351-F351</f>
        <v>371250</v>
      </c>
      <c r="H351" s="220">
        <f>G351*18%</f>
        <v>66825</v>
      </c>
      <c r="I351" s="41">
        <f>G351+H351</f>
        <v>438075</v>
      </c>
      <c r="J351" s="41">
        <f>G351*1%</f>
        <v>3712.5</v>
      </c>
      <c r="K351" s="41">
        <f>G351*5%</f>
        <v>18562.5</v>
      </c>
      <c r="L351" s="12"/>
      <c r="M351" s="41">
        <v>0</v>
      </c>
      <c r="N351" s="41">
        <f>H351</f>
        <v>66825</v>
      </c>
      <c r="O351" s="41">
        <v>0</v>
      </c>
      <c r="P351" s="41">
        <f>G351-J351-K351-M351-O351</f>
        <v>348975</v>
      </c>
      <c r="Q351" s="174"/>
      <c r="R351" s="37"/>
      <c r="S351" s="37"/>
      <c r="T351" s="40">
        <v>300000</v>
      </c>
      <c r="U351" s="113">
        <v>297000</v>
      </c>
      <c r="V351" s="15" t="s">
        <v>469</v>
      </c>
      <c r="W351" s="37"/>
      <c r="X351" s="13"/>
      <c r="Y351" s="13"/>
      <c r="Z351" s="13"/>
      <c r="AA351" s="13"/>
      <c r="AB351" s="13"/>
      <c r="AC351" s="13"/>
      <c r="AD351" s="13"/>
      <c r="AE351" s="13"/>
      <c r="AF351" s="13"/>
      <c r="AG351" s="13"/>
      <c r="AH351" s="13"/>
      <c r="AI351" s="13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  <c r="AZ351" s="13"/>
      <c r="BA351" s="13"/>
      <c r="BB351" s="13"/>
      <c r="BC351" s="13"/>
      <c r="BD351" s="13"/>
      <c r="BE351" s="13"/>
      <c r="BF351" s="13"/>
      <c r="BG351" s="13"/>
      <c r="BH351" s="13"/>
    </row>
    <row r="352" spans="1:60" s="13" customFormat="1" x14ac:dyDescent="0.25">
      <c r="A352" s="59"/>
      <c r="B352" s="31" t="s">
        <v>575</v>
      </c>
      <c r="C352" s="22"/>
      <c r="D352" s="32">
        <v>97</v>
      </c>
      <c r="E352" s="12">
        <f>N351</f>
        <v>66825</v>
      </c>
      <c r="F352" s="12"/>
      <c r="G352" s="12"/>
      <c r="H352" s="12"/>
      <c r="I352" s="12"/>
      <c r="J352" s="12"/>
      <c r="K352" s="12"/>
      <c r="L352" s="12"/>
      <c r="M352" s="41"/>
      <c r="N352" s="37"/>
      <c r="O352" s="37"/>
      <c r="P352" s="12">
        <f>E352</f>
        <v>66825</v>
      </c>
      <c r="Q352" s="174"/>
      <c r="R352" s="37"/>
      <c r="S352" s="37"/>
      <c r="T352" s="40">
        <v>500000</v>
      </c>
      <c r="U352" s="113">
        <v>495000</v>
      </c>
      <c r="V352" s="15" t="s">
        <v>481</v>
      </c>
      <c r="W352" s="37"/>
    </row>
    <row r="353" spans="1:60" s="13" customFormat="1" x14ac:dyDescent="0.25">
      <c r="A353" s="59"/>
      <c r="B353" s="42" t="s">
        <v>305</v>
      </c>
      <c r="C353" s="43">
        <v>45712</v>
      </c>
      <c r="D353" s="44">
        <v>158</v>
      </c>
      <c r="E353" s="41">
        <v>618750</v>
      </c>
      <c r="F353" s="41">
        <v>0</v>
      </c>
      <c r="G353" s="220">
        <f>E353-F353</f>
        <v>618750</v>
      </c>
      <c r="H353" s="220">
        <f>G353*18%</f>
        <v>111375</v>
      </c>
      <c r="I353" s="41">
        <f>G353+H353</f>
        <v>730125</v>
      </c>
      <c r="J353" s="41">
        <f>G353*1%</f>
        <v>6187.5</v>
      </c>
      <c r="K353" s="41">
        <f>G353*5%</f>
        <v>30937.5</v>
      </c>
      <c r="L353" s="12"/>
      <c r="M353" s="41">
        <v>0</v>
      </c>
      <c r="N353" s="41">
        <f>H353</f>
        <v>111375</v>
      </c>
      <c r="O353" s="41">
        <v>0</v>
      </c>
      <c r="P353" s="41">
        <f>G353-J353-K353-M353-O353</f>
        <v>581625</v>
      </c>
      <c r="Q353" s="174"/>
      <c r="R353" s="37"/>
      <c r="S353" s="37"/>
      <c r="T353" s="40">
        <v>200000</v>
      </c>
      <c r="U353" s="113">
        <v>198000</v>
      </c>
      <c r="V353" s="15" t="s">
        <v>558</v>
      </c>
      <c r="W353" s="37"/>
    </row>
    <row r="354" spans="1:60" x14ac:dyDescent="0.25">
      <c r="A354" s="59"/>
      <c r="B354" s="42"/>
      <c r="C354" s="43"/>
      <c r="D354" s="44"/>
      <c r="E354" s="41"/>
      <c r="F354" s="41"/>
      <c r="G354" s="41"/>
      <c r="H354" s="41"/>
      <c r="I354" s="41"/>
      <c r="J354" s="41"/>
      <c r="K354" s="41"/>
      <c r="L354" s="12"/>
      <c r="M354" s="41"/>
      <c r="N354" s="41"/>
      <c r="O354" s="41"/>
      <c r="P354" s="41"/>
      <c r="Q354" s="174"/>
      <c r="R354" s="37"/>
      <c r="S354" s="37"/>
      <c r="T354" s="40">
        <v>100000</v>
      </c>
      <c r="U354" s="113">
        <v>99000</v>
      </c>
      <c r="V354" s="15" t="s">
        <v>710</v>
      </c>
      <c r="W354" s="37"/>
    </row>
    <row r="355" spans="1:60" x14ac:dyDescent="0.25">
      <c r="A355" s="295">
        <v>60431</v>
      </c>
      <c r="B355" s="296"/>
      <c r="C355" s="297"/>
      <c r="D355" s="298"/>
      <c r="E355" s="299"/>
      <c r="F355" s="299"/>
      <c r="G355" s="299"/>
      <c r="H355" s="299"/>
      <c r="I355" s="299"/>
      <c r="J355" s="299"/>
      <c r="K355" s="299"/>
      <c r="L355" s="299"/>
      <c r="M355" s="299"/>
      <c r="N355" s="299"/>
      <c r="O355" s="299"/>
      <c r="P355" s="299"/>
      <c r="Q355" s="300">
        <f>A355</f>
        <v>60431</v>
      </c>
      <c r="R355" s="259"/>
      <c r="S355" s="259"/>
      <c r="T355" s="259"/>
      <c r="U355" s="260"/>
      <c r="V355" s="261"/>
      <c r="W355" s="261"/>
    </row>
    <row r="356" spans="1:60" x14ac:dyDescent="0.25">
      <c r="A356" s="17">
        <v>2250000</v>
      </c>
      <c r="B356" s="42" t="s">
        <v>304</v>
      </c>
      <c r="C356" s="43">
        <v>45417</v>
      </c>
      <c r="D356" s="44" t="s">
        <v>526</v>
      </c>
      <c r="E356" s="41">
        <v>562500</v>
      </c>
      <c r="F356" s="41">
        <v>226744</v>
      </c>
      <c r="G356" s="220">
        <f>E356-F356</f>
        <v>335756</v>
      </c>
      <c r="H356" s="220">
        <f>G356*18%</f>
        <v>60436.079999999994</v>
      </c>
      <c r="I356" s="41">
        <f>G356+H356</f>
        <v>396192.08</v>
      </c>
      <c r="J356" s="41">
        <f>G356*1%</f>
        <v>3357.56</v>
      </c>
      <c r="K356" s="41">
        <f>G356*5%</f>
        <v>16787.8</v>
      </c>
      <c r="L356" s="12"/>
      <c r="M356" s="41">
        <f>G356*10%</f>
        <v>33575.599999999999</v>
      </c>
      <c r="N356" s="227">
        <f>H356</f>
        <v>60436.079999999994</v>
      </c>
      <c r="O356" s="41"/>
      <c r="P356" s="41">
        <f>G356-J356-K356-M356</f>
        <v>282035.04000000004</v>
      </c>
      <c r="Q356" s="174"/>
      <c r="R356" s="37">
        <v>2250000</v>
      </c>
      <c r="S356" s="12">
        <f>R356-SUM(T356:T359)</f>
        <v>-500000</v>
      </c>
      <c r="T356" s="40">
        <v>250000</v>
      </c>
      <c r="U356" s="113">
        <f t="shared" ref="U356:U357" si="64">T356-1%*T356</f>
        <v>247500</v>
      </c>
      <c r="V356" s="15" t="s">
        <v>247</v>
      </c>
      <c r="W356" s="37"/>
    </row>
    <row r="357" spans="1:60" s="29" customFormat="1" x14ac:dyDescent="0.25">
      <c r="A357" s="59"/>
      <c r="B357" s="42" t="s">
        <v>304</v>
      </c>
      <c r="C357" s="43">
        <v>45433</v>
      </c>
      <c r="D357" s="44" t="s">
        <v>527</v>
      </c>
      <c r="E357" s="41">
        <v>337500</v>
      </c>
      <c r="F357" s="41">
        <v>201662</v>
      </c>
      <c r="G357" s="220">
        <f>E357-F357</f>
        <v>135838</v>
      </c>
      <c r="H357" s="220">
        <f>G357*18%</f>
        <v>24450.84</v>
      </c>
      <c r="I357" s="41">
        <f>G357+H357</f>
        <v>160288.84</v>
      </c>
      <c r="J357" s="41">
        <f>G357*1%</f>
        <v>1358.38</v>
      </c>
      <c r="K357" s="41">
        <f>G357*5%</f>
        <v>6791.9000000000005</v>
      </c>
      <c r="L357" s="12"/>
      <c r="M357" s="41">
        <f>G357*10%</f>
        <v>13583.800000000001</v>
      </c>
      <c r="N357" s="227">
        <f>H357</f>
        <v>24450.84</v>
      </c>
      <c r="O357" s="41"/>
      <c r="P357" s="41">
        <f>G357-J357-K357-M357</f>
        <v>114103.92</v>
      </c>
      <c r="Q357" s="174"/>
      <c r="R357" s="37"/>
      <c r="S357" s="37"/>
      <c r="T357" s="40">
        <v>500000</v>
      </c>
      <c r="U357" s="113">
        <f t="shared" si="64"/>
        <v>495000</v>
      </c>
      <c r="V357" s="15" t="s">
        <v>278</v>
      </c>
      <c r="W357" s="12">
        <f>SUM(P356:P360)-SUM(U356:U360)</f>
        <v>-1345974.12</v>
      </c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3"/>
      <c r="AI357" s="13"/>
      <c r="AJ357" s="13"/>
      <c r="AK357" s="13"/>
      <c r="AL357" s="13"/>
      <c r="AM357" s="13"/>
      <c r="AN357" s="13"/>
      <c r="AO357" s="13"/>
      <c r="AP357" s="13"/>
      <c r="AQ357" s="13"/>
      <c r="AR357" s="13"/>
      <c r="AS357" s="13"/>
      <c r="AT357" s="13"/>
      <c r="AU357" s="13"/>
      <c r="AV357" s="13"/>
      <c r="AW357" s="13"/>
      <c r="AX357" s="13"/>
      <c r="AY357" s="13"/>
      <c r="AZ357" s="13"/>
      <c r="BA357" s="13"/>
      <c r="BB357" s="13"/>
      <c r="BC357" s="13"/>
      <c r="BD357" s="13"/>
      <c r="BE357" s="13"/>
      <c r="BF357" s="13"/>
      <c r="BG357" s="13"/>
      <c r="BH357" s="13"/>
    </row>
    <row r="358" spans="1:60" s="13" customFormat="1" x14ac:dyDescent="0.25">
      <c r="A358" s="59"/>
      <c r="B358" s="31" t="s">
        <v>575</v>
      </c>
      <c r="C358" s="22"/>
      <c r="D358" s="32" t="s">
        <v>588</v>
      </c>
      <c r="E358" s="12">
        <f>N356+N357</f>
        <v>84886.92</v>
      </c>
      <c r="F358" s="12"/>
      <c r="G358" s="12"/>
      <c r="H358" s="12"/>
      <c r="I358" s="12"/>
      <c r="J358" s="12"/>
      <c r="K358" s="12"/>
      <c r="L358" s="12"/>
      <c r="M358" s="12"/>
      <c r="N358" s="37"/>
      <c r="O358" s="37"/>
      <c r="P358" s="12">
        <f>E358</f>
        <v>84886.92</v>
      </c>
      <c r="Q358" s="174"/>
      <c r="R358" s="37"/>
      <c r="S358" s="37"/>
      <c r="T358" s="40">
        <v>1000000</v>
      </c>
      <c r="U358" s="113">
        <v>990000</v>
      </c>
      <c r="V358" s="28" t="s">
        <v>381</v>
      </c>
      <c r="W358" s="37"/>
    </row>
    <row r="359" spans="1:60" s="13" customFormat="1" x14ac:dyDescent="0.15">
      <c r="A359" s="59"/>
      <c r="B359" s="42" t="s">
        <v>304</v>
      </c>
      <c r="C359" s="43">
        <v>45631</v>
      </c>
      <c r="D359" s="44">
        <v>93</v>
      </c>
      <c r="E359" s="41">
        <v>900000</v>
      </c>
      <c r="F359" s="41">
        <v>0</v>
      </c>
      <c r="G359" s="220">
        <f>E359-F359</f>
        <v>900000</v>
      </c>
      <c r="H359" s="220">
        <f>G359*18%</f>
        <v>162000</v>
      </c>
      <c r="I359" s="41">
        <f>G359+H359</f>
        <v>1062000</v>
      </c>
      <c r="J359" s="41">
        <f>G359*1%</f>
        <v>9000</v>
      </c>
      <c r="K359" s="41">
        <f>G359*5%</f>
        <v>45000</v>
      </c>
      <c r="L359" s="12"/>
      <c r="M359" s="41">
        <v>0</v>
      </c>
      <c r="N359" s="41">
        <f>H359</f>
        <v>162000</v>
      </c>
      <c r="O359" s="41">
        <v>112500</v>
      </c>
      <c r="P359" s="41">
        <f>G359-J359-K359-M359-O359</f>
        <v>733500</v>
      </c>
      <c r="Q359" s="174"/>
      <c r="R359" s="37"/>
      <c r="S359" s="37"/>
      <c r="T359" s="40">
        <v>1000000</v>
      </c>
      <c r="U359" s="113">
        <v>990000</v>
      </c>
      <c r="V359" s="221" t="s">
        <v>385</v>
      </c>
      <c r="W359" s="37"/>
    </row>
    <row r="360" spans="1:60" s="13" customFormat="1" x14ac:dyDescent="0.25">
      <c r="A360" s="59"/>
      <c r="B360" s="31" t="s">
        <v>575</v>
      </c>
      <c r="C360" s="22"/>
      <c r="D360" s="32">
        <v>93</v>
      </c>
      <c r="E360" s="12">
        <f>N359</f>
        <v>162000</v>
      </c>
      <c r="F360" s="12"/>
      <c r="G360" s="12"/>
      <c r="H360" s="12"/>
      <c r="I360" s="12"/>
      <c r="J360" s="12"/>
      <c r="K360" s="12"/>
      <c r="L360" s="12"/>
      <c r="M360" s="41"/>
      <c r="N360" s="37"/>
      <c r="O360" s="37"/>
      <c r="P360" s="12">
        <f>E360</f>
        <v>162000</v>
      </c>
      <c r="Q360" s="174"/>
      <c r="R360" s="37"/>
      <c r="S360" s="37"/>
      <c r="T360" s="37"/>
      <c r="U360" s="61"/>
      <c r="V360" s="27"/>
      <c r="W360" s="37"/>
    </row>
    <row r="361" spans="1:60" x14ac:dyDescent="0.25">
      <c r="A361" s="328">
        <v>60502</v>
      </c>
      <c r="B361" s="296"/>
      <c r="C361" s="297"/>
      <c r="D361" s="298"/>
      <c r="E361" s="299"/>
      <c r="F361" s="299"/>
      <c r="G361" s="299"/>
      <c r="H361" s="299"/>
      <c r="I361" s="299"/>
      <c r="J361" s="299"/>
      <c r="K361" s="299"/>
      <c r="L361" s="299"/>
      <c r="M361" s="299"/>
      <c r="N361" s="299"/>
      <c r="O361" s="299"/>
      <c r="P361" s="299"/>
      <c r="Q361" s="300">
        <f>A361</f>
        <v>60502</v>
      </c>
      <c r="R361" s="259"/>
      <c r="S361" s="259"/>
      <c r="T361" s="259"/>
      <c r="U361" s="260"/>
      <c r="V361" s="261"/>
      <c r="W361" s="261"/>
    </row>
    <row r="362" spans="1:60" x14ac:dyDescent="0.25">
      <c r="A362" s="17">
        <v>3671250</v>
      </c>
      <c r="B362" s="42" t="s">
        <v>303</v>
      </c>
      <c r="C362" s="43">
        <v>45421</v>
      </c>
      <c r="D362" s="44" t="s">
        <v>528</v>
      </c>
      <c r="E362" s="41">
        <v>917813</v>
      </c>
      <c r="F362" s="41">
        <v>324226</v>
      </c>
      <c r="G362" s="220">
        <f>E362-F362</f>
        <v>593587</v>
      </c>
      <c r="H362" s="220">
        <f>G362*18%</f>
        <v>106845.65999999999</v>
      </c>
      <c r="I362" s="41">
        <f>G362+H362</f>
        <v>700432.66</v>
      </c>
      <c r="J362" s="41">
        <f>G362*1%</f>
        <v>5935.87</v>
      </c>
      <c r="K362" s="41">
        <f>G362*5%</f>
        <v>29679.350000000002</v>
      </c>
      <c r="L362" s="12"/>
      <c r="M362" s="41">
        <f>G362*10%</f>
        <v>59358.700000000004</v>
      </c>
      <c r="N362" s="41">
        <f>H362</f>
        <v>106845.65999999999</v>
      </c>
      <c r="O362" s="41"/>
      <c r="P362" s="41">
        <f>G362-J362-K362-M362</f>
        <v>498613.08</v>
      </c>
      <c r="Q362" s="174"/>
      <c r="R362" s="37">
        <v>3671250</v>
      </c>
      <c r="S362" s="12">
        <f>R362-SUM(T362:T368)</f>
        <v>21250</v>
      </c>
      <c r="T362" s="40">
        <v>350000</v>
      </c>
      <c r="U362" s="113">
        <f t="shared" ref="U362:U365" si="65">T362-1%*T362</f>
        <v>346500</v>
      </c>
      <c r="V362" s="28" t="s">
        <v>232</v>
      </c>
      <c r="W362" s="37"/>
    </row>
    <row r="363" spans="1:60" x14ac:dyDescent="0.25">
      <c r="A363" s="59"/>
      <c r="B363" s="31" t="s">
        <v>575</v>
      </c>
      <c r="C363" s="22"/>
      <c r="D363" s="32">
        <v>17</v>
      </c>
      <c r="E363" s="12">
        <f>N362</f>
        <v>106845.65999999999</v>
      </c>
      <c r="F363" s="12"/>
      <c r="G363" s="12"/>
      <c r="H363" s="12"/>
      <c r="I363" s="12"/>
      <c r="J363" s="12"/>
      <c r="K363" s="12"/>
      <c r="L363" s="12"/>
      <c r="M363" s="41"/>
      <c r="N363" s="37"/>
      <c r="O363" s="37"/>
      <c r="P363" s="12">
        <f>E363</f>
        <v>106845.65999999999</v>
      </c>
      <c r="Q363" s="174"/>
      <c r="R363" s="37"/>
      <c r="S363" s="37"/>
      <c r="T363" s="40">
        <v>500000</v>
      </c>
      <c r="U363" s="113">
        <f t="shared" si="65"/>
        <v>495000</v>
      </c>
      <c r="V363" s="28" t="s">
        <v>258</v>
      </c>
      <c r="W363" s="12">
        <f>SUM(P362:P368)-SUM(U362:U368)</f>
        <v>-622673.25999999978</v>
      </c>
    </row>
    <row r="364" spans="1:60" x14ac:dyDescent="0.25">
      <c r="A364" s="59"/>
      <c r="B364" s="42" t="s">
        <v>303</v>
      </c>
      <c r="C364" s="22">
        <v>45544</v>
      </c>
      <c r="D364" s="32">
        <v>89</v>
      </c>
      <c r="E364" s="12">
        <v>1101375</v>
      </c>
      <c r="F364" s="12"/>
      <c r="G364" s="220">
        <f>E364-F364</f>
        <v>1101375</v>
      </c>
      <c r="H364" s="220">
        <f>G364*18%</f>
        <v>198247.5</v>
      </c>
      <c r="I364" s="41">
        <f>G364+H364</f>
        <v>1299622.5</v>
      </c>
      <c r="J364" s="41">
        <f>G364*1%</f>
        <v>11013.75</v>
      </c>
      <c r="K364" s="41">
        <f>G364*5%</f>
        <v>55068.75</v>
      </c>
      <c r="L364" s="12"/>
      <c r="M364" s="41"/>
      <c r="N364" s="162">
        <f>H364</f>
        <v>198247.5</v>
      </c>
      <c r="O364" s="162"/>
      <c r="P364" s="41">
        <f>G364-J364-K364-M364</f>
        <v>1035292.5</v>
      </c>
      <c r="Q364" s="174"/>
      <c r="R364" s="37"/>
      <c r="S364" s="37"/>
      <c r="T364" s="40">
        <v>500000</v>
      </c>
      <c r="U364" s="113">
        <f t="shared" si="65"/>
        <v>495000</v>
      </c>
      <c r="V364" s="28" t="s">
        <v>280</v>
      </c>
      <c r="W364" s="37"/>
    </row>
    <row r="365" spans="1:60" x14ac:dyDescent="0.25">
      <c r="A365" s="59"/>
      <c r="B365" s="31" t="s">
        <v>575</v>
      </c>
      <c r="C365" s="22"/>
      <c r="D365" s="32">
        <v>89</v>
      </c>
      <c r="E365" s="12">
        <f>N364</f>
        <v>198247.5</v>
      </c>
      <c r="F365" s="12"/>
      <c r="G365" s="12"/>
      <c r="H365" s="12"/>
      <c r="I365" s="12"/>
      <c r="J365" s="12"/>
      <c r="K365" s="12"/>
      <c r="L365" s="12"/>
      <c r="M365" s="41"/>
      <c r="N365" s="37"/>
      <c r="O365" s="37"/>
      <c r="P365" s="12">
        <f>E365</f>
        <v>198247.5</v>
      </c>
      <c r="Q365" s="174"/>
      <c r="R365" s="37"/>
      <c r="S365" s="37"/>
      <c r="T365" s="40">
        <v>500000</v>
      </c>
      <c r="U365" s="113">
        <f t="shared" si="65"/>
        <v>495000</v>
      </c>
      <c r="V365" s="28" t="s">
        <v>370</v>
      </c>
      <c r="W365" s="37"/>
    </row>
    <row r="366" spans="1:60" x14ac:dyDescent="0.25">
      <c r="A366" s="59"/>
      <c r="B366" s="42" t="s">
        <v>303</v>
      </c>
      <c r="C366" s="22">
        <v>45710</v>
      </c>
      <c r="D366" s="32">
        <v>139</v>
      </c>
      <c r="E366" s="12">
        <v>1468500</v>
      </c>
      <c r="F366" s="12"/>
      <c r="G366" s="220">
        <f>E366-F366</f>
        <v>1468500</v>
      </c>
      <c r="H366" s="220">
        <f>G366*18%</f>
        <v>264330</v>
      </c>
      <c r="I366" s="41">
        <f>G366+H366</f>
        <v>1732830</v>
      </c>
      <c r="J366" s="41">
        <f>G366*1%</f>
        <v>14685</v>
      </c>
      <c r="K366" s="41">
        <f>G366*5%</f>
        <v>73425</v>
      </c>
      <c r="L366" s="41">
        <v>0</v>
      </c>
      <c r="M366" s="41"/>
      <c r="N366" s="162">
        <f>H366</f>
        <v>264330</v>
      </c>
      <c r="O366" s="162">
        <v>228562</v>
      </c>
      <c r="P366" s="41">
        <f>I366-SUM(J366:O366)</f>
        <v>1151828</v>
      </c>
      <c r="Q366" s="182"/>
      <c r="R366" s="37"/>
      <c r="S366" s="37"/>
      <c r="T366" s="40">
        <v>1000000</v>
      </c>
      <c r="U366" s="113">
        <v>990000</v>
      </c>
      <c r="V366" s="28" t="s">
        <v>380</v>
      </c>
      <c r="W366" s="37"/>
    </row>
    <row r="367" spans="1:60" x14ac:dyDescent="0.25">
      <c r="A367" s="59"/>
      <c r="B367" s="31"/>
      <c r="C367" s="22"/>
      <c r="D367" s="32"/>
      <c r="E367" s="12"/>
      <c r="F367" s="12"/>
      <c r="G367" s="12"/>
      <c r="H367" s="12"/>
      <c r="I367" s="12"/>
      <c r="J367" s="12"/>
      <c r="K367" s="12"/>
      <c r="L367" s="12"/>
      <c r="M367" s="12"/>
      <c r="N367" s="37"/>
      <c r="O367" s="37"/>
      <c r="P367" s="12"/>
      <c r="Q367" s="174"/>
      <c r="R367" s="37"/>
      <c r="S367" s="37"/>
      <c r="T367" s="40">
        <v>500000</v>
      </c>
      <c r="U367" s="113">
        <v>495000</v>
      </c>
      <c r="V367" s="28" t="s">
        <v>462</v>
      </c>
      <c r="W367" s="37"/>
    </row>
    <row r="368" spans="1:60" x14ac:dyDescent="0.25">
      <c r="A368" s="59"/>
      <c r="B368" s="31"/>
      <c r="C368" s="22"/>
      <c r="D368" s="32"/>
      <c r="E368" s="12"/>
      <c r="F368" s="12"/>
      <c r="G368" s="12"/>
      <c r="H368" s="12"/>
      <c r="I368" s="12"/>
      <c r="J368" s="12"/>
      <c r="K368" s="12"/>
      <c r="L368" s="12"/>
      <c r="M368" s="12"/>
      <c r="N368" s="37"/>
      <c r="O368" s="37"/>
      <c r="P368" s="12"/>
      <c r="Q368" s="174"/>
      <c r="R368" s="37"/>
      <c r="S368" s="37"/>
      <c r="T368" s="40">
        <v>300000</v>
      </c>
      <c r="U368" s="113">
        <v>297000</v>
      </c>
      <c r="V368" s="28" t="s">
        <v>727</v>
      </c>
      <c r="W368" s="37"/>
    </row>
    <row r="369" spans="1:23" x14ac:dyDescent="0.25">
      <c r="A369" s="328">
        <v>60816</v>
      </c>
      <c r="B369" s="296"/>
      <c r="C369" s="297"/>
      <c r="D369" s="298"/>
      <c r="E369" s="299"/>
      <c r="F369" s="299"/>
      <c r="G369" s="299"/>
      <c r="H369" s="299"/>
      <c r="I369" s="299"/>
      <c r="J369" s="299"/>
      <c r="K369" s="299"/>
      <c r="L369" s="299"/>
      <c r="M369" s="299"/>
      <c r="N369" s="259"/>
      <c r="O369" s="259"/>
      <c r="P369" s="299"/>
      <c r="Q369" s="300">
        <f>A369</f>
        <v>60816</v>
      </c>
      <c r="R369" s="259"/>
      <c r="S369" s="259"/>
      <c r="T369" s="259"/>
      <c r="U369" s="260"/>
      <c r="V369" s="329"/>
      <c r="W369" s="329"/>
    </row>
    <row r="370" spans="1:23" x14ac:dyDescent="0.25">
      <c r="A370" s="59">
        <v>3150000</v>
      </c>
      <c r="B370" s="31" t="s">
        <v>295</v>
      </c>
      <c r="C370" s="22">
        <v>45424</v>
      </c>
      <c r="D370" s="32" t="s">
        <v>529</v>
      </c>
      <c r="E370" s="12">
        <v>787500</v>
      </c>
      <c r="F370" s="12">
        <v>229786.48</v>
      </c>
      <c r="G370" s="220">
        <f>E370-F370</f>
        <v>557713.52</v>
      </c>
      <c r="H370" s="220">
        <f>G370*18%</f>
        <v>100388.4336</v>
      </c>
      <c r="I370" s="41">
        <f>G370+H370</f>
        <v>658101.95360000001</v>
      </c>
      <c r="J370" s="41">
        <f>G370*1%</f>
        <v>5577.1352000000006</v>
      </c>
      <c r="K370" s="41">
        <f>G370*5%</f>
        <v>27885.676000000003</v>
      </c>
      <c r="L370" s="12"/>
      <c r="M370" s="41">
        <f>G370*10%</f>
        <v>55771.352000000006</v>
      </c>
      <c r="N370" s="41">
        <f>H370</f>
        <v>100388.4336</v>
      </c>
      <c r="O370" s="41"/>
      <c r="P370" s="41">
        <f>G370-J370-K370-M370</f>
        <v>468479.35680000001</v>
      </c>
      <c r="Q370" s="174"/>
      <c r="R370" s="37">
        <v>3150000</v>
      </c>
      <c r="S370" s="12">
        <f>R370-SUM(T370:T374)</f>
        <v>-300000</v>
      </c>
      <c r="T370" s="40">
        <v>450000</v>
      </c>
      <c r="U370" s="113">
        <v>445500</v>
      </c>
      <c r="V370" s="28" t="s">
        <v>296</v>
      </c>
      <c r="W370" s="37"/>
    </row>
    <row r="371" spans="1:23" x14ac:dyDescent="0.25">
      <c r="A371" s="59"/>
      <c r="B371" s="31" t="s">
        <v>575</v>
      </c>
      <c r="C371" s="22"/>
      <c r="D371" s="32">
        <v>20</v>
      </c>
      <c r="E371" s="12">
        <f>N370</f>
        <v>100388.4336</v>
      </c>
      <c r="F371" s="12"/>
      <c r="G371" s="12"/>
      <c r="H371" s="12"/>
      <c r="I371" s="12"/>
      <c r="J371" s="12"/>
      <c r="K371" s="12"/>
      <c r="L371" s="12"/>
      <c r="M371" s="12"/>
      <c r="N371" s="37"/>
      <c r="O371" s="37"/>
      <c r="P371" s="12">
        <f>E371</f>
        <v>100388.4336</v>
      </c>
      <c r="Q371" s="174"/>
      <c r="R371" s="37"/>
      <c r="S371" s="37"/>
      <c r="T371" s="40">
        <v>1000000</v>
      </c>
      <c r="U371" s="113">
        <v>990000</v>
      </c>
      <c r="V371" s="28" t="s">
        <v>297</v>
      </c>
      <c r="W371" s="12">
        <f>SUM(P370:P374)-SUM(U370:U374)</f>
        <v>-2559982.2095999997</v>
      </c>
    </row>
    <row r="372" spans="1:23" x14ac:dyDescent="0.25">
      <c r="A372" s="59"/>
      <c r="B372" s="31" t="s">
        <v>295</v>
      </c>
      <c r="C372" s="22">
        <v>45710</v>
      </c>
      <c r="D372" s="32">
        <v>137</v>
      </c>
      <c r="E372" s="12">
        <v>472500</v>
      </c>
      <c r="F372" s="12">
        <v>0</v>
      </c>
      <c r="G372" s="220">
        <f>E372-F372</f>
        <v>472500</v>
      </c>
      <c r="H372" s="220">
        <f>G372*18%</f>
        <v>85050</v>
      </c>
      <c r="I372" s="41">
        <f>G372+H372</f>
        <v>557550</v>
      </c>
      <c r="J372" s="41">
        <f>G372*1%</f>
        <v>4725</v>
      </c>
      <c r="K372" s="41">
        <f>G372*5%</f>
        <v>23625</v>
      </c>
      <c r="L372" s="12"/>
      <c r="M372" s="41">
        <v>0</v>
      </c>
      <c r="N372" s="41">
        <f>H372</f>
        <v>85050</v>
      </c>
      <c r="O372" s="41">
        <v>157500</v>
      </c>
      <c r="P372" s="41">
        <f>I372-SUM(J372:O372)</f>
        <v>286650</v>
      </c>
      <c r="Q372" s="174"/>
      <c r="R372" s="37"/>
      <c r="S372" s="37"/>
      <c r="T372" s="40">
        <v>500000</v>
      </c>
      <c r="U372" s="113">
        <f t="shared" ref="U372" si="66">T372-1%*T372</f>
        <v>495000</v>
      </c>
      <c r="V372" s="28" t="s">
        <v>374</v>
      </c>
      <c r="W372" s="37"/>
    </row>
    <row r="373" spans="1:23" x14ac:dyDescent="0.25">
      <c r="A373" s="59"/>
      <c r="B373" s="31"/>
      <c r="C373" s="22"/>
      <c r="D373" s="32"/>
      <c r="E373" s="12"/>
      <c r="F373" s="12"/>
      <c r="G373" s="12"/>
      <c r="H373" s="12"/>
      <c r="I373" s="12"/>
      <c r="J373" s="12"/>
      <c r="K373" s="12"/>
      <c r="L373" s="12"/>
      <c r="M373" s="12"/>
      <c r="N373" s="37"/>
      <c r="O373" s="37"/>
      <c r="P373" s="12"/>
      <c r="Q373" s="174"/>
      <c r="R373" s="37"/>
      <c r="S373" s="37"/>
      <c r="T373" s="40">
        <v>500000</v>
      </c>
      <c r="U373" s="113">
        <v>495000</v>
      </c>
      <c r="V373" s="28" t="s">
        <v>379</v>
      </c>
      <c r="W373" s="37"/>
    </row>
    <row r="374" spans="1:23" x14ac:dyDescent="0.15">
      <c r="A374" s="59"/>
      <c r="B374" s="31"/>
      <c r="C374" s="22"/>
      <c r="D374" s="32"/>
      <c r="E374" s="12"/>
      <c r="F374" s="12"/>
      <c r="G374" s="12"/>
      <c r="H374" s="12"/>
      <c r="I374" s="12"/>
      <c r="J374" s="12"/>
      <c r="K374" s="12"/>
      <c r="L374" s="12"/>
      <c r="M374" s="12"/>
      <c r="N374" s="37"/>
      <c r="O374" s="37"/>
      <c r="P374" s="12"/>
      <c r="Q374" s="174"/>
      <c r="R374" s="37"/>
      <c r="S374" s="37"/>
      <c r="T374" s="40">
        <v>1000000</v>
      </c>
      <c r="U374" s="113">
        <v>990000</v>
      </c>
      <c r="V374" s="221" t="s">
        <v>384</v>
      </c>
      <c r="W374" s="37"/>
    </row>
    <row r="375" spans="1:23" x14ac:dyDescent="0.25">
      <c r="A375" s="295">
        <v>61849</v>
      </c>
      <c r="B375" s="296"/>
      <c r="C375" s="297"/>
      <c r="D375" s="298"/>
      <c r="E375" s="299"/>
      <c r="F375" s="299"/>
      <c r="G375" s="299"/>
      <c r="H375" s="299"/>
      <c r="I375" s="299"/>
      <c r="J375" s="299"/>
      <c r="K375" s="299"/>
      <c r="L375" s="299"/>
      <c r="M375" s="299"/>
      <c r="N375" s="299"/>
      <c r="O375" s="299"/>
      <c r="P375" s="299"/>
      <c r="Q375" s="300">
        <f>A375</f>
        <v>61849</v>
      </c>
      <c r="R375" s="259"/>
      <c r="S375" s="259"/>
      <c r="T375" s="259"/>
      <c r="U375" s="260"/>
      <c r="V375" s="261"/>
      <c r="W375" s="261"/>
    </row>
    <row r="376" spans="1:23" ht="28.5" x14ac:dyDescent="0.25">
      <c r="A376" s="17">
        <v>2475000</v>
      </c>
      <c r="B376" s="42" t="s">
        <v>377</v>
      </c>
      <c r="C376" s="43">
        <v>45437</v>
      </c>
      <c r="D376" s="44" t="s">
        <v>530</v>
      </c>
      <c r="E376" s="41">
        <v>495000</v>
      </c>
      <c r="F376" s="232">
        <v>147497</v>
      </c>
      <c r="G376" s="220">
        <f>E376-F376</f>
        <v>347503</v>
      </c>
      <c r="H376" s="220">
        <f>G376*18%</f>
        <v>62550.54</v>
      </c>
      <c r="I376" s="41">
        <f>G376+H376</f>
        <v>410053.54</v>
      </c>
      <c r="J376" s="41">
        <f>G376*1%</f>
        <v>3475.03</v>
      </c>
      <c r="K376" s="41">
        <f>G376*5%</f>
        <v>17375.150000000001</v>
      </c>
      <c r="L376" s="12"/>
      <c r="M376" s="41">
        <f>G376*10%</f>
        <v>34750.300000000003</v>
      </c>
      <c r="N376" s="41">
        <f>H376</f>
        <v>62550.54</v>
      </c>
      <c r="O376" s="41"/>
      <c r="P376" s="41">
        <f>G376-J376-K376-M376</f>
        <v>291902.51999999996</v>
      </c>
      <c r="Q376" s="174"/>
      <c r="R376" s="37">
        <v>2475000</v>
      </c>
      <c r="S376" s="12">
        <f>R377-SUM(T376:T381)</f>
        <v>51250</v>
      </c>
      <c r="T376" s="40">
        <v>1000000</v>
      </c>
      <c r="U376" s="113">
        <f t="shared" ref="U376:U377" si="67">T376-1%*T376</f>
        <v>990000</v>
      </c>
      <c r="V376" s="28" t="s">
        <v>272</v>
      </c>
      <c r="W376" s="37"/>
    </row>
    <row r="377" spans="1:23" x14ac:dyDescent="0.25">
      <c r="A377" s="17">
        <f>A376*95%</f>
        <v>2351250</v>
      </c>
      <c r="B377" s="42"/>
      <c r="C377" s="43">
        <v>45532</v>
      </c>
      <c r="D377" s="44">
        <v>52</v>
      </c>
      <c r="E377" s="41">
        <v>1608750</v>
      </c>
      <c r="F377" s="41">
        <v>179151.72</v>
      </c>
      <c r="G377" s="220">
        <f>E377-F377</f>
        <v>1429598.28</v>
      </c>
      <c r="H377" s="220">
        <f>G377*18%</f>
        <v>257327.69039999999</v>
      </c>
      <c r="I377" s="41">
        <f>G377+H377</f>
        <v>1686925.9704</v>
      </c>
      <c r="J377" s="41">
        <f>G377*1%</f>
        <v>14295.9828</v>
      </c>
      <c r="K377" s="41">
        <f>G377*5%</f>
        <v>71479.914000000004</v>
      </c>
      <c r="L377" s="12"/>
      <c r="M377" s="41"/>
      <c r="N377" s="41">
        <f>H377</f>
        <v>257327.69039999999</v>
      </c>
      <c r="O377" s="41">
        <f>G377*7%</f>
        <v>100071.87960000001</v>
      </c>
      <c r="P377" s="41">
        <f>I377-SUM(J377:O377)</f>
        <v>1243750.5035999999</v>
      </c>
      <c r="Q377" s="174"/>
      <c r="R377" s="37">
        <f>R376*95%</f>
        <v>2351250</v>
      </c>
      <c r="S377" s="37"/>
      <c r="T377" s="40">
        <v>500000</v>
      </c>
      <c r="U377" s="113">
        <f t="shared" si="67"/>
        <v>495000</v>
      </c>
      <c r="V377" s="28" t="s">
        <v>378</v>
      </c>
      <c r="W377" s="12">
        <f>SUM(P376:P381)-SUM(U376:U381)</f>
        <v>-405468.74600000004</v>
      </c>
    </row>
    <row r="378" spans="1:23" x14ac:dyDescent="0.25">
      <c r="A378" s="59"/>
      <c r="B378" s="31" t="s">
        <v>575</v>
      </c>
      <c r="C378" s="22">
        <v>45437</v>
      </c>
      <c r="D378" s="32">
        <v>31</v>
      </c>
      <c r="E378" s="12">
        <f>H376</f>
        <v>62550.54</v>
      </c>
      <c r="F378" s="12"/>
      <c r="G378" s="12"/>
      <c r="H378" s="12"/>
      <c r="I378" s="12"/>
      <c r="J378" s="12"/>
      <c r="K378" s="12"/>
      <c r="L378" s="12"/>
      <c r="M378" s="12"/>
      <c r="N378" s="37"/>
      <c r="O378" s="37"/>
      <c r="P378" s="12">
        <f>E378</f>
        <v>62550.54</v>
      </c>
      <c r="Q378" s="174"/>
      <c r="R378" s="37"/>
      <c r="S378" s="37"/>
      <c r="T378" s="40">
        <v>200000</v>
      </c>
      <c r="U378" s="113">
        <v>190000</v>
      </c>
      <c r="V378" s="28" t="s">
        <v>396</v>
      </c>
      <c r="W378" s="37"/>
    </row>
    <row r="379" spans="1:23" x14ac:dyDescent="0.25">
      <c r="A379" s="59"/>
      <c r="B379" s="42" t="s">
        <v>575</v>
      </c>
      <c r="C379" s="43"/>
      <c r="D379" s="44">
        <v>52</v>
      </c>
      <c r="E379" s="41">
        <f>H377</f>
        <v>257327.69039999999</v>
      </c>
      <c r="F379" s="41"/>
      <c r="G379" s="41"/>
      <c r="H379" s="41"/>
      <c r="I379" s="41"/>
      <c r="J379" s="41"/>
      <c r="K379" s="41"/>
      <c r="L379" s="12"/>
      <c r="M379" s="41"/>
      <c r="N379" s="41"/>
      <c r="O379" s="41"/>
      <c r="P379" s="41">
        <f>E379</f>
        <v>257327.69039999999</v>
      </c>
      <c r="Q379" s="174"/>
      <c r="R379" s="37"/>
      <c r="S379" s="37"/>
      <c r="T379" s="40">
        <v>200000</v>
      </c>
      <c r="U379" s="113">
        <v>190000</v>
      </c>
      <c r="V379" s="28" t="s">
        <v>406</v>
      </c>
      <c r="W379" s="37"/>
    </row>
    <row r="380" spans="1:23" x14ac:dyDescent="0.25">
      <c r="A380" s="59"/>
      <c r="B380" s="31"/>
      <c r="C380" s="22"/>
      <c r="D380" s="32"/>
      <c r="E380" s="12"/>
      <c r="F380" s="12"/>
      <c r="G380" s="12"/>
      <c r="H380" s="12"/>
      <c r="I380" s="12"/>
      <c r="J380" s="12"/>
      <c r="K380" s="12"/>
      <c r="L380" s="12"/>
      <c r="M380" s="12"/>
      <c r="N380" s="37"/>
      <c r="O380" s="37"/>
      <c r="P380" s="12"/>
      <c r="Q380" s="174"/>
      <c r="R380" s="37"/>
      <c r="S380" s="37"/>
      <c r="T380" s="40">
        <v>200000</v>
      </c>
      <c r="U380" s="113">
        <v>198000</v>
      </c>
      <c r="V380" s="28" t="s">
        <v>467</v>
      </c>
      <c r="W380" s="37"/>
    </row>
    <row r="381" spans="1:23" x14ac:dyDescent="0.25">
      <c r="A381" s="59"/>
      <c r="B381" s="31"/>
      <c r="C381" s="22"/>
      <c r="D381" s="32"/>
      <c r="E381" s="12"/>
      <c r="F381" s="12"/>
      <c r="G381" s="12"/>
      <c r="H381" s="12"/>
      <c r="I381" s="12"/>
      <c r="J381" s="12"/>
      <c r="K381" s="12"/>
      <c r="L381" s="12"/>
      <c r="M381" s="12"/>
      <c r="N381" s="37"/>
      <c r="O381" s="37"/>
      <c r="P381" s="12"/>
      <c r="Q381" s="174"/>
      <c r="R381" s="37"/>
      <c r="S381" s="37"/>
      <c r="T381" s="40">
        <v>200000</v>
      </c>
      <c r="U381" s="113">
        <v>198000</v>
      </c>
      <c r="V381" s="28" t="s">
        <v>557</v>
      </c>
      <c r="W381" s="37"/>
    </row>
    <row r="382" spans="1:23" x14ac:dyDescent="0.25">
      <c r="A382" s="295">
        <v>61850</v>
      </c>
      <c r="B382" s="296"/>
      <c r="C382" s="297"/>
      <c r="D382" s="298"/>
      <c r="E382" s="299"/>
      <c r="F382" s="299"/>
      <c r="G382" s="299"/>
      <c r="H382" s="299"/>
      <c r="I382" s="299"/>
      <c r="J382" s="299"/>
      <c r="K382" s="299"/>
      <c r="L382" s="299"/>
      <c r="M382" s="299"/>
      <c r="N382" s="299"/>
      <c r="O382" s="299"/>
      <c r="P382" s="299"/>
      <c r="Q382" s="300">
        <f>A382</f>
        <v>61850</v>
      </c>
      <c r="R382" s="259"/>
      <c r="S382" s="259"/>
      <c r="T382" s="259"/>
      <c r="U382" s="260"/>
      <c r="V382" s="261"/>
      <c r="W382" s="261"/>
    </row>
    <row r="383" spans="1:23" x14ac:dyDescent="0.25">
      <c r="A383" s="17">
        <v>2250000</v>
      </c>
      <c r="B383" s="42" t="s">
        <v>301</v>
      </c>
      <c r="C383" s="43">
        <v>45437</v>
      </c>
      <c r="D383" s="44" t="s">
        <v>531</v>
      </c>
      <c r="E383" s="41">
        <v>562500</v>
      </c>
      <c r="F383" s="41">
        <v>187330</v>
      </c>
      <c r="G383" s="220">
        <f>E383-F383</f>
        <v>375170</v>
      </c>
      <c r="H383" s="220">
        <f>G383*18%</f>
        <v>67530.599999999991</v>
      </c>
      <c r="I383" s="41">
        <f>G383+H383</f>
        <v>442700.6</v>
      </c>
      <c r="J383" s="41">
        <f>G383*1%</f>
        <v>3751.7000000000003</v>
      </c>
      <c r="K383" s="41">
        <f>G383*5%</f>
        <v>18758.5</v>
      </c>
      <c r="L383" s="12"/>
      <c r="M383" s="41">
        <f>G383*10%</f>
        <v>37517</v>
      </c>
      <c r="N383" s="41">
        <f>H383</f>
        <v>67530.599999999991</v>
      </c>
      <c r="O383" s="41"/>
      <c r="P383" s="41">
        <f>G383-J383-K383-M383</f>
        <v>315142.8</v>
      </c>
      <c r="Q383" s="174"/>
      <c r="R383" s="37">
        <v>2250000</v>
      </c>
      <c r="S383" s="12">
        <f>R383-SUM(T383:T387)</f>
        <v>50000</v>
      </c>
      <c r="T383" s="40">
        <v>1000000</v>
      </c>
      <c r="U383" s="113">
        <f t="shared" ref="U383:U384" si="68">T383-1%*T383</f>
        <v>990000</v>
      </c>
      <c r="V383" s="28" t="s">
        <v>274</v>
      </c>
      <c r="W383" s="37"/>
    </row>
    <row r="384" spans="1:23" x14ac:dyDescent="0.25">
      <c r="A384" s="17"/>
      <c r="B384" s="42" t="s">
        <v>575</v>
      </c>
      <c r="C384" s="43"/>
      <c r="D384" s="44">
        <v>32</v>
      </c>
      <c r="E384" s="41">
        <f>H383</f>
        <v>67530.599999999991</v>
      </c>
      <c r="F384" s="41"/>
      <c r="G384" s="41"/>
      <c r="H384" s="41"/>
      <c r="I384" s="41"/>
      <c r="J384" s="41"/>
      <c r="K384" s="41"/>
      <c r="L384" s="12"/>
      <c r="M384" s="41"/>
      <c r="N384" s="41"/>
      <c r="O384" s="41"/>
      <c r="P384" s="41">
        <f>E384</f>
        <v>67530.599999999991</v>
      </c>
      <c r="Q384" s="174"/>
      <c r="R384" s="37"/>
      <c r="S384" s="37"/>
      <c r="T384" s="40">
        <v>500000</v>
      </c>
      <c r="U384" s="113">
        <f t="shared" si="68"/>
        <v>495000</v>
      </c>
      <c r="V384" s="28" t="s">
        <v>366</v>
      </c>
      <c r="W384" s="12">
        <f>SUM(P383:P387)-SUM(U383:U387)</f>
        <v>-406826.60000000009</v>
      </c>
    </row>
    <row r="385" spans="1:23" x14ac:dyDescent="0.25">
      <c r="A385" s="17"/>
      <c r="B385" s="42" t="s">
        <v>301</v>
      </c>
      <c r="C385" s="43">
        <v>45633</v>
      </c>
      <c r="D385" s="44">
        <v>95</v>
      </c>
      <c r="E385" s="41">
        <f>A383*55%</f>
        <v>1237500</v>
      </c>
      <c r="F385" s="41">
        <v>0</v>
      </c>
      <c r="G385" s="220">
        <f>E385-F385</f>
        <v>1237500</v>
      </c>
      <c r="H385" s="220">
        <f>G385*18%</f>
        <v>222750</v>
      </c>
      <c r="I385" s="41">
        <f>G385+H385</f>
        <v>1460250</v>
      </c>
      <c r="J385" s="41">
        <f>G385*1%</f>
        <v>12375</v>
      </c>
      <c r="K385" s="41">
        <f>G385*5%</f>
        <v>61875</v>
      </c>
      <c r="L385" s="12"/>
      <c r="M385" s="41"/>
      <c r="N385" s="41">
        <f>H385</f>
        <v>222750</v>
      </c>
      <c r="O385" s="41">
        <v>112500</v>
      </c>
      <c r="P385" s="41">
        <f>G385-J385-K385-M385-O385</f>
        <v>1050750</v>
      </c>
      <c r="Q385" s="174"/>
      <c r="R385" s="37"/>
      <c r="S385" s="102"/>
      <c r="T385" s="244">
        <v>400000</v>
      </c>
      <c r="U385" s="233">
        <v>380000</v>
      </c>
      <c r="V385" s="28" t="s">
        <v>415</v>
      </c>
      <c r="W385" s="37"/>
    </row>
    <row r="386" spans="1:23" x14ac:dyDescent="0.25">
      <c r="A386" s="17"/>
      <c r="B386" s="42" t="s">
        <v>575</v>
      </c>
      <c r="C386" s="43"/>
      <c r="D386" s="44">
        <v>95</v>
      </c>
      <c r="E386" s="41">
        <f>N385</f>
        <v>222750</v>
      </c>
      <c r="F386" s="41"/>
      <c r="G386" s="41"/>
      <c r="H386" s="41"/>
      <c r="I386" s="41"/>
      <c r="J386" s="41"/>
      <c r="K386" s="41"/>
      <c r="L386" s="12"/>
      <c r="M386" s="41"/>
      <c r="N386" s="41"/>
      <c r="O386" s="41"/>
      <c r="P386" s="41">
        <f>E386</f>
        <v>222750</v>
      </c>
      <c r="Q386" s="174"/>
      <c r="R386" s="37"/>
      <c r="S386" s="102"/>
      <c r="T386" s="40">
        <v>300000</v>
      </c>
      <c r="U386" s="113">
        <v>297000</v>
      </c>
      <c r="V386" s="40" t="s">
        <v>728</v>
      </c>
      <c r="W386" s="37"/>
    </row>
    <row r="387" spans="1:23" x14ac:dyDescent="0.25">
      <c r="A387" s="17"/>
      <c r="B387" s="42" t="s">
        <v>301</v>
      </c>
      <c r="C387" s="43">
        <v>45711</v>
      </c>
      <c r="D387" s="44">
        <v>153</v>
      </c>
      <c r="E387" s="41">
        <v>225000</v>
      </c>
      <c r="F387" s="41">
        <v>0</v>
      </c>
      <c r="G387" s="41">
        <f>E387-F387</f>
        <v>225000</v>
      </c>
      <c r="H387" s="110">
        <f>G387*18%</f>
        <v>40500</v>
      </c>
      <c r="I387" s="41">
        <f>G387+H387</f>
        <v>265500</v>
      </c>
      <c r="J387" s="41">
        <f>G387*1%</f>
        <v>2250</v>
      </c>
      <c r="K387" s="41">
        <f>G387*5%</f>
        <v>11250</v>
      </c>
      <c r="L387" s="12"/>
      <c r="M387" s="41"/>
      <c r="N387" s="41">
        <f>H387</f>
        <v>40500</v>
      </c>
      <c r="O387" s="41">
        <v>112500</v>
      </c>
      <c r="P387" s="41">
        <f>G387-J387-K387-M387-O387</f>
        <v>99000</v>
      </c>
      <c r="Q387" s="182" t="s">
        <v>733</v>
      </c>
      <c r="R387" s="37"/>
      <c r="S387" s="102"/>
      <c r="T387" s="102"/>
      <c r="U387" s="102"/>
      <c r="V387" s="37"/>
      <c r="W387" s="37"/>
    </row>
    <row r="388" spans="1:23" x14ac:dyDescent="0.25">
      <c r="A388" s="295">
        <v>61851</v>
      </c>
      <c r="B388" s="296"/>
      <c r="C388" s="297"/>
      <c r="D388" s="298"/>
      <c r="E388" s="299"/>
      <c r="F388" s="299"/>
      <c r="G388" s="299"/>
      <c r="H388" s="299"/>
      <c r="I388" s="299"/>
      <c r="J388" s="299"/>
      <c r="K388" s="299"/>
      <c r="L388" s="299"/>
      <c r="M388" s="299"/>
      <c r="N388" s="299"/>
      <c r="O388" s="299"/>
      <c r="P388" s="299"/>
      <c r="Q388" s="300">
        <f>A388</f>
        <v>61851</v>
      </c>
      <c r="R388" s="259"/>
      <c r="S388" s="259"/>
      <c r="T388" s="259"/>
      <c r="U388" s="260"/>
      <c r="V388" s="261"/>
      <c r="W388" s="261"/>
    </row>
    <row r="389" spans="1:23" x14ac:dyDescent="0.3">
      <c r="A389" s="17">
        <v>3040000</v>
      </c>
      <c r="B389" s="42" t="s">
        <v>298</v>
      </c>
      <c r="C389" s="43">
        <v>45449</v>
      </c>
      <c r="D389" s="189" t="s">
        <v>532</v>
      </c>
      <c r="E389" s="41">
        <v>760000</v>
      </c>
      <c r="F389" s="41">
        <v>305524</v>
      </c>
      <c r="G389" s="220">
        <f>E389-F389</f>
        <v>454476</v>
      </c>
      <c r="H389" s="220">
        <f>G389*18%</f>
        <v>81805.679999999993</v>
      </c>
      <c r="I389" s="41">
        <f>G389+H389</f>
        <v>536281.67999999993</v>
      </c>
      <c r="J389" s="41">
        <f>G389*1%</f>
        <v>4544.76</v>
      </c>
      <c r="K389" s="41">
        <f>G389*5%</f>
        <v>22723.800000000003</v>
      </c>
      <c r="L389" s="12"/>
      <c r="M389" s="41">
        <f>G389*10%</f>
        <v>45447.600000000006</v>
      </c>
      <c r="N389" s="41">
        <f>H389</f>
        <v>81805.679999999993</v>
      </c>
      <c r="O389" s="41"/>
      <c r="P389" s="41">
        <f>G389-J389-K389-M389</f>
        <v>381759.83999999997</v>
      </c>
      <c r="Q389" s="174"/>
      <c r="R389" s="37">
        <v>3040000</v>
      </c>
      <c r="S389" s="12">
        <f>R389-SUM(T389:T394)</f>
        <v>40000</v>
      </c>
      <c r="T389" s="40">
        <v>1000000</v>
      </c>
      <c r="U389" s="113">
        <f t="shared" ref="U389:U391" si="69">T389-1%*T389</f>
        <v>990000</v>
      </c>
      <c r="V389" s="28" t="s">
        <v>273</v>
      </c>
      <c r="W389" s="37"/>
    </row>
    <row r="390" spans="1:23" x14ac:dyDescent="0.3">
      <c r="A390" s="17"/>
      <c r="B390" s="42" t="s">
        <v>575</v>
      </c>
      <c r="C390" s="43"/>
      <c r="D390" s="189">
        <v>35</v>
      </c>
      <c r="E390" s="41">
        <f>N389</f>
        <v>81805.679999999993</v>
      </c>
      <c r="F390" s="41"/>
      <c r="G390" s="41"/>
      <c r="H390" s="41"/>
      <c r="I390" s="41"/>
      <c r="J390" s="41"/>
      <c r="K390" s="41"/>
      <c r="L390" s="12"/>
      <c r="M390" s="41"/>
      <c r="N390" s="41"/>
      <c r="O390" s="41"/>
      <c r="P390" s="41">
        <f>E390</f>
        <v>81805.679999999993</v>
      </c>
      <c r="Q390" s="174"/>
      <c r="R390" s="37"/>
      <c r="S390" s="37"/>
      <c r="T390" s="40">
        <v>700000</v>
      </c>
      <c r="U390" s="113">
        <f t="shared" si="69"/>
        <v>693000</v>
      </c>
      <c r="V390" s="228" t="s">
        <v>294</v>
      </c>
      <c r="W390" s="12">
        <f>SUM(P389:P394)-SUM(U389:U394)</f>
        <v>-832674.48</v>
      </c>
    </row>
    <row r="391" spans="1:23" x14ac:dyDescent="0.3">
      <c r="A391" s="59"/>
      <c r="B391" s="42" t="s">
        <v>298</v>
      </c>
      <c r="C391" s="43">
        <v>45544</v>
      </c>
      <c r="D391" s="189">
        <v>84</v>
      </c>
      <c r="E391" s="41">
        <v>456000</v>
      </c>
      <c r="F391" s="41"/>
      <c r="G391" s="220">
        <f>E391-F391</f>
        <v>456000</v>
      </c>
      <c r="H391" s="220">
        <f>G391*18%</f>
        <v>82080</v>
      </c>
      <c r="I391" s="41">
        <f>G391+H391</f>
        <v>538080</v>
      </c>
      <c r="J391" s="41">
        <f>G391*1%</f>
        <v>4560</v>
      </c>
      <c r="K391" s="41">
        <f>G391*5%</f>
        <v>22800</v>
      </c>
      <c r="L391" s="12"/>
      <c r="M391" s="41"/>
      <c r="N391" s="41">
        <f>H391</f>
        <v>82080</v>
      </c>
      <c r="O391" s="41"/>
      <c r="P391" s="41">
        <f>G391-J391-K391-M391</f>
        <v>428640</v>
      </c>
      <c r="Q391" s="174"/>
      <c r="R391" s="64"/>
      <c r="S391" s="64"/>
      <c r="T391" s="40">
        <v>200000</v>
      </c>
      <c r="U391" s="113">
        <f t="shared" si="69"/>
        <v>198000</v>
      </c>
      <c r="V391" s="228" t="s">
        <v>679</v>
      </c>
      <c r="W391" s="37"/>
    </row>
    <row r="392" spans="1:23" x14ac:dyDescent="0.3">
      <c r="A392" s="59"/>
      <c r="B392" s="42" t="s">
        <v>575</v>
      </c>
      <c r="C392" s="43"/>
      <c r="D392" s="189">
        <v>84</v>
      </c>
      <c r="E392" s="41">
        <f>N391</f>
        <v>82080</v>
      </c>
      <c r="F392" s="41"/>
      <c r="G392" s="41"/>
      <c r="H392" s="41"/>
      <c r="I392" s="41"/>
      <c r="J392" s="41"/>
      <c r="K392" s="41"/>
      <c r="L392" s="12"/>
      <c r="M392" s="41"/>
      <c r="N392" s="41"/>
      <c r="O392" s="41"/>
      <c r="P392" s="41">
        <f>E392</f>
        <v>82080</v>
      </c>
      <c r="Q392" s="174"/>
      <c r="R392" s="64"/>
      <c r="S392" s="64"/>
      <c r="T392" s="40">
        <v>500000</v>
      </c>
      <c r="U392" s="113">
        <v>475000</v>
      </c>
      <c r="V392" s="221" t="s">
        <v>889</v>
      </c>
      <c r="W392" s="64"/>
    </row>
    <row r="393" spans="1:23" x14ac:dyDescent="0.3">
      <c r="A393" s="59"/>
      <c r="B393" s="42" t="s">
        <v>298</v>
      </c>
      <c r="C393" s="43">
        <v>45712</v>
      </c>
      <c r="D393" s="189">
        <v>163</v>
      </c>
      <c r="E393" s="41">
        <v>1216000</v>
      </c>
      <c r="F393" s="41"/>
      <c r="G393" s="220">
        <f>E393-F393</f>
        <v>1216000</v>
      </c>
      <c r="H393" s="220">
        <f>G393*18%</f>
        <v>218880</v>
      </c>
      <c r="I393" s="41">
        <f>G393+H393</f>
        <v>1434880</v>
      </c>
      <c r="J393" s="41">
        <f>G393*1%</f>
        <v>12160</v>
      </c>
      <c r="K393" s="41">
        <f>G393*5%</f>
        <v>60800</v>
      </c>
      <c r="L393" s="12"/>
      <c r="M393" s="41"/>
      <c r="N393" s="41">
        <f>H393</f>
        <v>218880</v>
      </c>
      <c r="O393" s="41"/>
      <c r="P393" s="41">
        <f>G393-J393-K393-M393</f>
        <v>1143040</v>
      </c>
      <c r="Q393" s="174"/>
      <c r="R393" s="64"/>
      <c r="S393" s="64"/>
      <c r="T393" s="40">
        <v>500000</v>
      </c>
      <c r="U393" s="113">
        <v>495000</v>
      </c>
      <c r="V393" s="228" t="s">
        <v>461</v>
      </c>
      <c r="W393" s="64"/>
    </row>
    <row r="394" spans="1:23" x14ac:dyDescent="0.25">
      <c r="A394" s="59"/>
      <c r="B394" s="42"/>
      <c r="C394" s="43"/>
      <c r="D394" s="44"/>
      <c r="E394" s="41"/>
      <c r="F394" s="41"/>
      <c r="G394" s="41"/>
      <c r="H394" s="41"/>
      <c r="I394" s="41"/>
      <c r="J394" s="41"/>
      <c r="K394" s="41"/>
      <c r="L394" s="12"/>
      <c r="M394" s="41"/>
      <c r="N394" s="41"/>
      <c r="O394" s="41"/>
      <c r="P394" s="41"/>
      <c r="Q394" s="174"/>
      <c r="R394" s="64"/>
      <c r="S394" s="64"/>
      <c r="T394" s="40">
        <v>100000</v>
      </c>
      <c r="U394" s="113">
        <v>99000</v>
      </c>
      <c r="V394" s="228" t="s">
        <v>709</v>
      </c>
      <c r="W394" s="64"/>
    </row>
    <row r="395" spans="1:23" x14ac:dyDescent="0.25">
      <c r="A395" s="295">
        <v>62126</v>
      </c>
      <c r="B395" s="296"/>
      <c r="C395" s="297"/>
      <c r="D395" s="298"/>
      <c r="E395" s="299"/>
      <c r="F395" s="299"/>
      <c r="G395" s="299"/>
      <c r="H395" s="299"/>
      <c r="I395" s="299"/>
      <c r="J395" s="299"/>
      <c r="K395" s="299"/>
      <c r="L395" s="299"/>
      <c r="M395" s="299"/>
      <c r="N395" s="299"/>
      <c r="O395" s="299"/>
      <c r="P395" s="299"/>
      <c r="Q395" s="300">
        <f>A395</f>
        <v>62126</v>
      </c>
      <c r="R395" s="259"/>
      <c r="S395" s="259"/>
      <c r="T395" s="259"/>
      <c r="U395" s="260"/>
      <c r="V395" s="261"/>
      <c r="W395" s="261"/>
    </row>
    <row r="396" spans="1:23" ht="28.5" x14ac:dyDescent="0.25">
      <c r="A396" s="59"/>
      <c r="B396" s="42" t="s">
        <v>300</v>
      </c>
      <c r="C396" s="43">
        <v>45471</v>
      </c>
      <c r="D396" s="44" t="s">
        <v>533</v>
      </c>
      <c r="E396" s="41">
        <v>1000000</v>
      </c>
      <c r="F396" s="41">
        <v>352439</v>
      </c>
      <c r="G396" s="220">
        <f>E396-F396</f>
        <v>647561</v>
      </c>
      <c r="H396" s="220">
        <f>G396*18%</f>
        <v>116560.98</v>
      </c>
      <c r="I396" s="41">
        <f>G396+H396</f>
        <v>764121.98</v>
      </c>
      <c r="J396" s="41">
        <f>G396*1%</f>
        <v>6475.6100000000006</v>
      </c>
      <c r="K396" s="41">
        <f>G396*5%</f>
        <v>32378.050000000003</v>
      </c>
      <c r="L396" s="12"/>
      <c r="M396" s="41">
        <v>0</v>
      </c>
      <c r="N396" s="41">
        <f>H396</f>
        <v>116560.98</v>
      </c>
      <c r="O396" s="41"/>
      <c r="P396" s="41">
        <f>G396-J396-K396-M396</f>
        <v>608707.34</v>
      </c>
      <c r="Q396" s="174" t="s">
        <v>416</v>
      </c>
      <c r="R396" s="37">
        <v>5000000</v>
      </c>
      <c r="S396" s="12">
        <f>R396-SUM(T396:T407)</f>
        <v>-100000</v>
      </c>
      <c r="T396" s="40">
        <v>300000</v>
      </c>
      <c r="U396" s="113">
        <f t="shared" ref="U396:U398" si="70">T396-1%*T396</f>
        <v>297000</v>
      </c>
      <c r="V396" s="28" t="s">
        <v>282</v>
      </c>
      <c r="W396" s="64"/>
    </row>
    <row r="397" spans="1:23" x14ac:dyDescent="0.25">
      <c r="A397" s="17"/>
      <c r="B397" s="42" t="s">
        <v>575</v>
      </c>
      <c r="C397" s="43">
        <v>45471</v>
      </c>
      <c r="D397" s="44">
        <v>49</v>
      </c>
      <c r="E397" s="41">
        <f>N396</f>
        <v>116560.98</v>
      </c>
      <c r="F397" s="41"/>
      <c r="G397" s="41"/>
      <c r="H397" s="41"/>
      <c r="I397" s="41"/>
      <c r="J397" s="41"/>
      <c r="K397" s="41"/>
      <c r="L397" s="12"/>
      <c r="M397" s="41"/>
      <c r="N397" s="41"/>
      <c r="O397" s="41"/>
      <c r="P397" s="41">
        <f>E397</f>
        <v>116560.98</v>
      </c>
      <c r="Q397" s="174"/>
      <c r="R397" s="37"/>
      <c r="S397" s="37"/>
      <c r="T397" s="40">
        <v>200000</v>
      </c>
      <c r="U397" s="113">
        <f t="shared" si="70"/>
        <v>198000</v>
      </c>
      <c r="V397" s="28" t="s">
        <v>286</v>
      </c>
      <c r="W397" s="12">
        <f>SUM(P396:P407)-SUM(U396:U407)</f>
        <v>-3509231.68</v>
      </c>
    </row>
    <row r="398" spans="1:23" ht="28.5" x14ac:dyDescent="0.25">
      <c r="A398" s="59"/>
      <c r="B398" s="42" t="s">
        <v>300</v>
      </c>
      <c r="C398" s="43">
        <v>45544</v>
      </c>
      <c r="D398" s="44">
        <v>77</v>
      </c>
      <c r="E398" s="41">
        <v>750000</v>
      </c>
      <c r="F398" s="41"/>
      <c r="G398" s="220">
        <f>E398-F398</f>
        <v>750000</v>
      </c>
      <c r="H398" s="220">
        <f>G398*18%</f>
        <v>135000</v>
      </c>
      <c r="I398" s="41">
        <f>G398+H398</f>
        <v>885000</v>
      </c>
      <c r="J398" s="41">
        <f>G398*1%</f>
        <v>7500</v>
      </c>
      <c r="K398" s="41">
        <f>G398*5%</f>
        <v>37500</v>
      </c>
      <c r="L398" s="12"/>
      <c r="M398" s="41">
        <v>0</v>
      </c>
      <c r="N398" s="41">
        <f>H398</f>
        <v>135000</v>
      </c>
      <c r="O398" s="41">
        <v>37500</v>
      </c>
      <c r="P398" s="41">
        <f>G398-J398-K398-M398-O398</f>
        <v>667500</v>
      </c>
      <c r="Q398" s="174"/>
      <c r="R398" s="37"/>
      <c r="S398" s="37"/>
      <c r="T398" s="40">
        <v>1000000</v>
      </c>
      <c r="U398" s="113">
        <f t="shared" si="70"/>
        <v>990000</v>
      </c>
      <c r="V398" s="28" t="s">
        <v>368</v>
      </c>
      <c r="W398" s="37"/>
    </row>
    <row r="399" spans="1:23" x14ac:dyDescent="0.25">
      <c r="A399" s="59"/>
      <c r="B399" s="42" t="s">
        <v>575</v>
      </c>
      <c r="C399" s="43"/>
      <c r="D399" s="44">
        <v>77</v>
      </c>
      <c r="E399" s="41">
        <f>N398</f>
        <v>135000</v>
      </c>
      <c r="F399" s="41"/>
      <c r="G399" s="41"/>
      <c r="H399" s="41"/>
      <c r="I399" s="41"/>
      <c r="J399" s="41"/>
      <c r="K399" s="41"/>
      <c r="L399" s="12"/>
      <c r="M399" s="41"/>
      <c r="N399" s="41"/>
      <c r="O399" s="41"/>
      <c r="P399" s="41">
        <f>E399</f>
        <v>135000</v>
      </c>
      <c r="Q399" s="174"/>
      <c r="R399" s="37"/>
      <c r="S399" s="37"/>
      <c r="T399" s="40">
        <v>500000</v>
      </c>
      <c r="U399" s="113">
        <v>495000</v>
      </c>
      <c r="V399" s="15" t="s">
        <v>383</v>
      </c>
      <c r="W399" s="37"/>
    </row>
    <row r="400" spans="1:23" x14ac:dyDescent="0.25">
      <c r="A400" s="59"/>
      <c r="B400" s="42"/>
      <c r="C400" s="43"/>
      <c r="D400" s="44"/>
      <c r="E400" s="41"/>
      <c r="F400" s="41"/>
      <c r="G400" s="41"/>
      <c r="H400" s="41"/>
      <c r="I400" s="41"/>
      <c r="J400" s="41"/>
      <c r="K400" s="41"/>
      <c r="L400" s="12"/>
      <c r="M400" s="41"/>
      <c r="N400" s="41"/>
      <c r="O400" s="41"/>
      <c r="P400" s="41"/>
      <c r="Q400" s="174"/>
      <c r="R400" s="37"/>
      <c r="S400" s="37"/>
      <c r="T400" s="40">
        <v>300000</v>
      </c>
      <c r="U400" s="113">
        <v>285000</v>
      </c>
      <c r="V400" s="28" t="s">
        <v>405</v>
      </c>
      <c r="W400" s="37"/>
    </row>
    <row r="401" spans="1:23" x14ac:dyDescent="0.25">
      <c r="A401" s="59"/>
      <c r="B401" s="42"/>
      <c r="C401" s="43"/>
      <c r="D401" s="44"/>
      <c r="E401" s="41"/>
      <c r="F401" s="41"/>
      <c r="G401" s="41"/>
      <c r="H401" s="41"/>
      <c r="I401" s="41"/>
      <c r="J401" s="41"/>
      <c r="K401" s="41"/>
      <c r="L401" s="12"/>
      <c r="M401" s="41"/>
      <c r="N401" s="41"/>
      <c r="O401" s="41"/>
      <c r="P401" s="41"/>
      <c r="Q401" s="174"/>
      <c r="R401" s="37"/>
      <c r="S401" s="37"/>
      <c r="T401" s="40">
        <v>500000</v>
      </c>
      <c r="U401" s="113">
        <v>495000</v>
      </c>
      <c r="V401" s="28" t="s">
        <v>680</v>
      </c>
      <c r="W401" s="37"/>
    </row>
    <row r="402" spans="1:23" x14ac:dyDescent="0.25">
      <c r="A402" s="59"/>
      <c r="B402" s="42"/>
      <c r="C402" s="43"/>
      <c r="D402" s="44"/>
      <c r="E402" s="41"/>
      <c r="F402" s="41"/>
      <c r="G402" s="41"/>
      <c r="H402" s="41"/>
      <c r="I402" s="41"/>
      <c r="J402" s="41"/>
      <c r="K402" s="41"/>
      <c r="L402" s="12"/>
      <c r="M402" s="41"/>
      <c r="N402" s="41"/>
      <c r="O402" s="41"/>
      <c r="P402" s="41"/>
      <c r="Q402" s="174"/>
      <c r="R402" s="37"/>
      <c r="S402" s="37"/>
      <c r="T402" s="40">
        <v>300000</v>
      </c>
      <c r="U402" s="113">
        <v>297000</v>
      </c>
      <c r="V402" s="28" t="s">
        <v>466</v>
      </c>
      <c r="W402" s="37"/>
    </row>
    <row r="403" spans="1:23" x14ac:dyDescent="0.25">
      <c r="A403" s="59"/>
      <c r="B403" s="42"/>
      <c r="C403" s="43"/>
      <c r="D403" s="44"/>
      <c r="E403" s="41"/>
      <c r="F403" s="41"/>
      <c r="G403" s="41"/>
      <c r="H403" s="41"/>
      <c r="I403" s="41"/>
      <c r="J403" s="41"/>
      <c r="K403" s="41"/>
      <c r="L403" s="12"/>
      <c r="M403" s="41"/>
      <c r="N403" s="41"/>
      <c r="O403" s="41"/>
      <c r="P403" s="41"/>
      <c r="Q403" s="174"/>
      <c r="R403" s="37"/>
      <c r="S403" s="37"/>
      <c r="T403" s="40">
        <v>500000</v>
      </c>
      <c r="U403" s="113">
        <v>495000</v>
      </c>
      <c r="V403" s="28" t="s">
        <v>483</v>
      </c>
      <c r="W403" s="37"/>
    </row>
    <row r="404" spans="1:23" x14ac:dyDescent="0.25">
      <c r="A404" s="59"/>
      <c r="B404" s="42"/>
      <c r="C404" s="43"/>
      <c r="D404" s="44"/>
      <c r="E404" s="41"/>
      <c r="F404" s="41"/>
      <c r="G404" s="41"/>
      <c r="H404" s="41"/>
      <c r="I404" s="41"/>
      <c r="J404" s="41"/>
      <c r="K404" s="41"/>
      <c r="L404" s="12"/>
      <c r="M404" s="41"/>
      <c r="N404" s="41"/>
      <c r="O404" s="41"/>
      <c r="P404" s="41"/>
      <c r="Q404" s="174"/>
      <c r="R404" s="37"/>
      <c r="S404" s="37"/>
      <c r="T404" s="40">
        <v>400000</v>
      </c>
      <c r="U404" s="113">
        <v>396000</v>
      </c>
      <c r="V404" s="28" t="s">
        <v>495</v>
      </c>
      <c r="W404" s="37"/>
    </row>
    <row r="405" spans="1:23" x14ac:dyDescent="0.25">
      <c r="A405" s="59"/>
      <c r="B405" s="42"/>
      <c r="C405" s="43"/>
      <c r="D405" s="44"/>
      <c r="E405" s="41"/>
      <c r="F405" s="41"/>
      <c r="G405" s="41"/>
      <c r="H405" s="41"/>
      <c r="I405" s="41"/>
      <c r="J405" s="41"/>
      <c r="K405" s="41"/>
      <c r="L405" s="12"/>
      <c r="M405" s="41"/>
      <c r="N405" s="41"/>
      <c r="O405" s="41"/>
      <c r="P405" s="41"/>
      <c r="Q405" s="174"/>
      <c r="R405" s="37"/>
      <c r="S405" s="37"/>
      <c r="T405" s="40">
        <v>500000</v>
      </c>
      <c r="U405" s="113">
        <v>495000</v>
      </c>
      <c r="V405" s="28" t="s">
        <v>681</v>
      </c>
      <c r="W405" s="37"/>
    </row>
    <row r="406" spans="1:23" x14ac:dyDescent="0.25">
      <c r="A406" s="59"/>
      <c r="B406" s="42"/>
      <c r="C406" s="43"/>
      <c r="D406" s="44"/>
      <c r="E406" s="41"/>
      <c r="F406" s="41"/>
      <c r="G406" s="41"/>
      <c r="H406" s="41"/>
      <c r="I406" s="41"/>
      <c r="J406" s="41"/>
      <c r="K406" s="41"/>
      <c r="L406" s="12"/>
      <c r="M406" s="41"/>
      <c r="N406" s="41"/>
      <c r="O406" s="41"/>
      <c r="P406" s="41"/>
      <c r="Q406" s="174"/>
      <c r="R406" s="37"/>
      <c r="S406" s="37"/>
      <c r="T406" s="40">
        <v>300000</v>
      </c>
      <c r="U406" s="113">
        <v>297000</v>
      </c>
      <c r="V406" s="28" t="s">
        <v>609</v>
      </c>
      <c r="W406" s="37"/>
    </row>
    <row r="407" spans="1:23" x14ac:dyDescent="0.25">
      <c r="A407" s="59"/>
      <c r="B407" s="42"/>
      <c r="C407" s="43"/>
      <c r="D407" s="44"/>
      <c r="E407" s="41"/>
      <c r="F407" s="41"/>
      <c r="G407" s="41"/>
      <c r="H407" s="41"/>
      <c r="I407" s="41"/>
      <c r="J407" s="41"/>
      <c r="K407" s="41"/>
      <c r="L407" s="12"/>
      <c r="M407" s="41"/>
      <c r="N407" s="41"/>
      <c r="O407" s="41"/>
      <c r="P407" s="41"/>
      <c r="Q407" s="174"/>
      <c r="R407" s="37"/>
      <c r="S407" s="37"/>
      <c r="T407" s="40">
        <v>300000</v>
      </c>
      <c r="U407" s="113">
        <v>297000</v>
      </c>
      <c r="V407" s="28" t="s">
        <v>610</v>
      </c>
      <c r="W407" s="37"/>
    </row>
    <row r="408" spans="1:23" x14ac:dyDescent="0.25">
      <c r="A408" s="295">
        <v>62127</v>
      </c>
      <c r="B408" s="296"/>
      <c r="C408" s="297"/>
      <c r="D408" s="298"/>
      <c r="E408" s="299"/>
      <c r="F408" s="299"/>
      <c r="G408" s="299"/>
      <c r="H408" s="299"/>
      <c r="I408" s="299"/>
      <c r="J408" s="299"/>
      <c r="K408" s="299"/>
      <c r="L408" s="299"/>
      <c r="M408" s="299"/>
      <c r="N408" s="299"/>
      <c r="O408" s="299"/>
      <c r="P408" s="299"/>
      <c r="Q408" s="300">
        <f>A408</f>
        <v>62127</v>
      </c>
      <c r="R408" s="259"/>
      <c r="S408" s="259"/>
      <c r="T408" s="259"/>
      <c r="U408" s="260"/>
      <c r="V408" s="261"/>
      <c r="W408" s="261"/>
    </row>
    <row r="409" spans="1:23" ht="28.5" x14ac:dyDescent="0.25">
      <c r="A409" s="59">
        <v>2250000</v>
      </c>
      <c r="B409" s="42" t="s">
        <v>299</v>
      </c>
      <c r="C409" s="43">
        <v>45471</v>
      </c>
      <c r="D409" s="44" t="s">
        <v>534</v>
      </c>
      <c r="E409" s="41">
        <v>450000</v>
      </c>
      <c r="F409" s="41">
        <v>0</v>
      </c>
      <c r="G409" s="220">
        <f>E409-F409</f>
        <v>450000</v>
      </c>
      <c r="H409" s="220">
        <f>G409*18%</f>
        <v>81000</v>
      </c>
      <c r="I409" s="41">
        <f>G409+H409</f>
        <v>531000</v>
      </c>
      <c r="J409" s="41">
        <f>G409*1%</f>
        <v>4500</v>
      </c>
      <c r="K409" s="41">
        <f>G409*5%</f>
        <v>22500</v>
      </c>
      <c r="L409" s="12"/>
      <c r="M409" s="41">
        <v>0</v>
      </c>
      <c r="N409" s="41">
        <f>H409</f>
        <v>81000</v>
      </c>
      <c r="O409" s="41"/>
      <c r="P409" s="41">
        <f>G409-J409-K409-M409</f>
        <v>423000</v>
      </c>
      <c r="Q409" s="174" t="s">
        <v>416</v>
      </c>
      <c r="R409" s="37">
        <v>2250000</v>
      </c>
      <c r="S409" s="12">
        <f>R410-SUM(T409:T414)</f>
        <v>37500</v>
      </c>
      <c r="T409" s="40">
        <v>400000</v>
      </c>
      <c r="U409" s="113">
        <f t="shared" ref="U409" si="71">T409-1%*T409</f>
        <v>396000</v>
      </c>
      <c r="V409" s="28" t="s">
        <v>284</v>
      </c>
      <c r="W409" s="37"/>
    </row>
    <row r="410" spans="1:23" x14ac:dyDescent="0.25">
      <c r="A410" s="59"/>
      <c r="B410" s="42" t="s">
        <v>575</v>
      </c>
      <c r="C410" s="43"/>
      <c r="D410" s="44">
        <v>47</v>
      </c>
      <c r="E410" s="41">
        <f>N409</f>
        <v>81000</v>
      </c>
      <c r="F410" s="41"/>
      <c r="G410" s="41"/>
      <c r="H410" s="41"/>
      <c r="I410" s="41"/>
      <c r="J410" s="41"/>
      <c r="K410" s="41"/>
      <c r="L410" s="12"/>
      <c r="M410" s="41"/>
      <c r="N410" s="41"/>
      <c r="O410" s="41"/>
      <c r="P410" s="41">
        <f>E410</f>
        <v>81000</v>
      </c>
      <c r="Q410" s="174"/>
      <c r="R410" s="37">
        <f>R409*95%</f>
        <v>2137500</v>
      </c>
      <c r="S410" s="37"/>
      <c r="T410" s="40">
        <v>500000</v>
      </c>
      <c r="U410" s="113">
        <v>495000</v>
      </c>
      <c r="V410" s="28" t="s">
        <v>382</v>
      </c>
      <c r="W410" s="12">
        <f>SUM(P409:P414)-SUM(U409:U414)</f>
        <v>-217250</v>
      </c>
    </row>
    <row r="411" spans="1:23" ht="28.5" x14ac:dyDescent="0.25">
      <c r="A411" s="59"/>
      <c r="B411" s="42" t="s">
        <v>299</v>
      </c>
      <c r="C411" s="43">
        <v>45544</v>
      </c>
      <c r="D411" s="44">
        <v>79</v>
      </c>
      <c r="E411" s="41">
        <v>337500</v>
      </c>
      <c r="F411" s="41"/>
      <c r="G411" s="220">
        <f>E411-F411</f>
        <v>337500</v>
      </c>
      <c r="H411" s="220">
        <f>G411*18%</f>
        <v>60750</v>
      </c>
      <c r="I411" s="41">
        <f>G411+H411</f>
        <v>398250</v>
      </c>
      <c r="J411" s="41">
        <f>G411*1%</f>
        <v>3375</v>
      </c>
      <c r="K411" s="41">
        <f>G411*5%</f>
        <v>16875</v>
      </c>
      <c r="L411" s="12"/>
      <c r="M411" s="41">
        <v>0</v>
      </c>
      <c r="N411" s="41">
        <f>H411</f>
        <v>60750</v>
      </c>
      <c r="O411" s="41"/>
      <c r="P411" s="41">
        <f>G411-J411-K411-M411</f>
        <v>317250</v>
      </c>
      <c r="Q411" s="174"/>
      <c r="R411" s="37"/>
      <c r="S411" s="37"/>
      <c r="T411" s="40">
        <v>200000</v>
      </c>
      <c r="U411" s="113">
        <v>190000</v>
      </c>
      <c r="V411" s="28" t="s">
        <v>395</v>
      </c>
      <c r="W411" s="37"/>
    </row>
    <row r="412" spans="1:23" x14ac:dyDescent="0.15">
      <c r="A412" s="59"/>
      <c r="B412" s="42" t="s">
        <v>575</v>
      </c>
      <c r="C412" s="43"/>
      <c r="D412" s="44">
        <v>79</v>
      </c>
      <c r="E412" s="41">
        <f>N411</f>
        <v>60750</v>
      </c>
      <c r="F412" s="41"/>
      <c r="G412" s="41"/>
      <c r="H412" s="41"/>
      <c r="I412" s="41"/>
      <c r="J412" s="41"/>
      <c r="K412" s="41"/>
      <c r="L412" s="12"/>
      <c r="M412" s="41"/>
      <c r="N412" s="41"/>
      <c r="O412" s="41"/>
      <c r="P412" s="41">
        <f>E412</f>
        <v>60750</v>
      </c>
      <c r="Q412" s="174"/>
      <c r="R412" s="37"/>
      <c r="S412" s="37"/>
      <c r="T412" s="40">
        <v>500000</v>
      </c>
      <c r="U412" s="113">
        <v>475000</v>
      </c>
      <c r="V412" s="221" t="s">
        <v>907</v>
      </c>
      <c r="W412" s="37"/>
    </row>
    <row r="413" spans="1:23" ht="28.5" x14ac:dyDescent="0.25">
      <c r="A413" s="59"/>
      <c r="B413" s="42" t="s">
        <v>299</v>
      </c>
      <c r="C413" s="43">
        <v>45712</v>
      </c>
      <c r="D413" s="44">
        <v>157</v>
      </c>
      <c r="E413" s="41">
        <v>1012500</v>
      </c>
      <c r="F413" s="41"/>
      <c r="G413" s="220">
        <f>E413-F413</f>
        <v>1012500</v>
      </c>
      <c r="H413" s="220">
        <f>G413*18%</f>
        <v>182250</v>
      </c>
      <c r="I413" s="41">
        <f>G413+H413</f>
        <v>1194750</v>
      </c>
      <c r="J413" s="41">
        <f>G413*1%</f>
        <v>10125</v>
      </c>
      <c r="K413" s="41">
        <f>G413*5%</f>
        <v>50625</v>
      </c>
      <c r="L413" s="12"/>
      <c r="M413" s="41">
        <v>0</v>
      </c>
      <c r="N413" s="41">
        <f>H413</f>
        <v>182250</v>
      </c>
      <c r="O413" s="41"/>
      <c r="P413" s="41">
        <f>G413-J413-K413-M413</f>
        <v>951750</v>
      </c>
      <c r="Q413" s="174"/>
      <c r="R413" s="37"/>
      <c r="S413" s="37"/>
      <c r="T413" s="40">
        <v>200000</v>
      </c>
      <c r="U413" s="113">
        <v>198000</v>
      </c>
      <c r="V413" s="28" t="s">
        <v>465</v>
      </c>
      <c r="W413" s="37"/>
    </row>
    <row r="414" spans="1:23" x14ac:dyDescent="0.25">
      <c r="A414" s="59"/>
      <c r="B414" s="42"/>
      <c r="C414" s="43"/>
      <c r="D414" s="44"/>
      <c r="E414" s="41"/>
      <c r="F414" s="41"/>
      <c r="G414" s="41"/>
      <c r="H414" s="41"/>
      <c r="I414" s="41"/>
      <c r="J414" s="41"/>
      <c r="K414" s="41"/>
      <c r="L414" s="12"/>
      <c r="M414" s="41"/>
      <c r="N414" s="41"/>
      <c r="O414" s="41"/>
      <c r="P414" s="41"/>
      <c r="Q414" s="174"/>
      <c r="R414" s="37"/>
      <c r="S414" s="37"/>
      <c r="T414" s="40">
        <v>300000</v>
      </c>
      <c r="U414" s="113">
        <v>297000</v>
      </c>
      <c r="V414" s="28" t="s">
        <v>717</v>
      </c>
      <c r="W414" s="37"/>
    </row>
    <row r="415" spans="1:23" x14ac:dyDescent="0.25">
      <c r="A415" s="295">
        <v>65821</v>
      </c>
      <c r="B415" s="296"/>
      <c r="C415" s="297"/>
      <c r="D415" s="298"/>
      <c r="E415" s="299"/>
      <c r="F415" s="299"/>
      <c r="G415" s="299"/>
      <c r="H415" s="299"/>
      <c r="I415" s="299"/>
      <c r="J415" s="299"/>
      <c r="K415" s="299"/>
      <c r="L415" s="299"/>
      <c r="M415" s="299"/>
      <c r="N415" s="299"/>
      <c r="O415" s="299"/>
      <c r="P415" s="299"/>
      <c r="Q415" s="300">
        <f>A415</f>
        <v>65821</v>
      </c>
      <c r="R415" s="259"/>
      <c r="S415" s="259"/>
      <c r="T415" s="259"/>
      <c r="U415" s="260"/>
      <c r="V415" s="261"/>
      <c r="W415" s="261"/>
    </row>
    <row r="416" spans="1:23" ht="28.5" x14ac:dyDescent="0.25">
      <c r="A416" s="116">
        <v>4130000</v>
      </c>
      <c r="B416" s="42" t="s">
        <v>560</v>
      </c>
      <c r="C416" s="43">
        <v>45534</v>
      </c>
      <c r="D416" s="44">
        <v>59</v>
      </c>
      <c r="E416" s="41">
        <v>2271500</v>
      </c>
      <c r="F416" s="41">
        <v>302992.96999999997</v>
      </c>
      <c r="G416" s="220">
        <f>E416-F416</f>
        <v>1968507.03</v>
      </c>
      <c r="H416" s="220">
        <f>G416*18%</f>
        <v>354331.26539999997</v>
      </c>
      <c r="I416" s="41">
        <f>G416+H416</f>
        <v>2322838.2954000002</v>
      </c>
      <c r="J416" s="41">
        <f>G416*1%</f>
        <v>19685.070299999999</v>
      </c>
      <c r="K416" s="41">
        <f>G416*5%</f>
        <v>98425.351500000004</v>
      </c>
      <c r="L416" s="12"/>
      <c r="M416" s="41"/>
      <c r="N416" s="41">
        <f>H416</f>
        <v>354331.26539999997</v>
      </c>
      <c r="O416" s="41">
        <f>7%*G416</f>
        <v>137795.4921</v>
      </c>
      <c r="P416" s="41">
        <f>I416-SUM(J416:O416)</f>
        <v>1712601.1161000002</v>
      </c>
      <c r="Q416" s="170"/>
      <c r="R416" s="37">
        <v>4130000</v>
      </c>
      <c r="S416" s="12">
        <f>R417-SUM(T416:T422)</f>
        <v>78000</v>
      </c>
      <c r="T416" s="40">
        <v>300000</v>
      </c>
      <c r="U416" s="113">
        <v>297000</v>
      </c>
      <c r="V416" s="28" t="s">
        <v>570</v>
      </c>
      <c r="W416" s="37"/>
    </row>
    <row r="417" spans="1:23" x14ac:dyDescent="0.25">
      <c r="A417" s="59"/>
      <c r="B417" s="42" t="s">
        <v>575</v>
      </c>
      <c r="C417" s="43"/>
      <c r="D417" s="44">
        <v>59</v>
      </c>
      <c r="E417" s="41">
        <f>N416</f>
        <v>354331.26539999997</v>
      </c>
      <c r="F417" s="41"/>
      <c r="G417" s="41"/>
      <c r="H417" s="41"/>
      <c r="I417" s="41"/>
      <c r="J417" s="41"/>
      <c r="K417" s="41"/>
      <c r="L417" s="12"/>
      <c r="M417" s="41"/>
      <c r="N417" s="41"/>
      <c r="O417" s="41"/>
      <c r="P417" s="41">
        <f>E417</f>
        <v>354331.26539999997</v>
      </c>
      <c r="Q417" s="170"/>
      <c r="R417" s="37">
        <f>R416*60%</f>
        <v>2478000</v>
      </c>
      <c r="S417" s="37"/>
      <c r="T417" s="40">
        <v>300000</v>
      </c>
      <c r="U417" s="113">
        <v>297000</v>
      </c>
      <c r="V417" s="28" t="s">
        <v>571</v>
      </c>
      <c r="W417" s="12">
        <f>SUM(P416:P422)-SUM(U416:U422)</f>
        <v>-114957.61849999987</v>
      </c>
    </row>
    <row r="418" spans="1:23" ht="28.5" x14ac:dyDescent="0.25">
      <c r="A418" s="59"/>
      <c r="B418" s="42" t="s">
        <v>560</v>
      </c>
      <c r="C418" s="43">
        <v>45711</v>
      </c>
      <c r="D418" s="44">
        <v>146</v>
      </c>
      <c r="E418" s="41">
        <v>206500</v>
      </c>
      <c r="F418" s="41">
        <v>0</v>
      </c>
      <c r="G418" s="41">
        <f>E418-F418</f>
        <v>206500</v>
      </c>
      <c r="H418" s="110">
        <f>G418*18%</f>
        <v>37170</v>
      </c>
      <c r="I418" s="41">
        <f>G418+H418</f>
        <v>243670</v>
      </c>
      <c r="J418" s="41">
        <f>G418*1%</f>
        <v>2065</v>
      </c>
      <c r="K418" s="41">
        <f>G418*5%</f>
        <v>10325</v>
      </c>
      <c r="L418" s="12"/>
      <c r="M418" s="41"/>
      <c r="N418" s="41">
        <f>H418</f>
        <v>37170</v>
      </c>
      <c r="O418" s="41">
        <v>0</v>
      </c>
      <c r="P418" s="41">
        <f>I418-SUM(J418:O418)</f>
        <v>194110</v>
      </c>
      <c r="Q418" s="171" t="s">
        <v>733</v>
      </c>
      <c r="R418" s="37"/>
      <c r="S418" s="37"/>
      <c r="T418" s="40">
        <v>300000</v>
      </c>
      <c r="U418" s="113">
        <v>297000</v>
      </c>
      <c r="V418" s="28" t="s">
        <v>599</v>
      </c>
      <c r="W418" s="37"/>
    </row>
    <row r="419" spans="1:23" x14ac:dyDescent="0.25">
      <c r="A419" s="59"/>
      <c r="B419" s="42"/>
      <c r="C419" s="43"/>
      <c r="D419" s="44"/>
      <c r="E419" s="41"/>
      <c r="F419" s="41"/>
      <c r="G419" s="41"/>
      <c r="H419" s="41"/>
      <c r="I419" s="41"/>
      <c r="J419" s="41"/>
      <c r="K419" s="41"/>
      <c r="L419" s="12"/>
      <c r="M419" s="41"/>
      <c r="N419" s="41"/>
      <c r="O419" s="41"/>
      <c r="P419" s="41"/>
      <c r="Q419" s="170"/>
      <c r="R419" s="37"/>
      <c r="S419" s="37"/>
      <c r="T419" s="40">
        <v>500000</v>
      </c>
      <c r="U419" s="113">
        <v>495000</v>
      </c>
      <c r="V419" s="28" t="s">
        <v>603</v>
      </c>
      <c r="W419" s="37"/>
    </row>
    <row r="420" spans="1:23" x14ac:dyDescent="0.25">
      <c r="A420" s="59"/>
      <c r="B420" s="42"/>
      <c r="C420" s="43"/>
      <c r="D420" s="44"/>
      <c r="E420" s="41"/>
      <c r="F420" s="41"/>
      <c r="G420" s="41"/>
      <c r="H420" s="41"/>
      <c r="I420" s="41"/>
      <c r="J420" s="41"/>
      <c r="K420" s="41"/>
      <c r="L420" s="12"/>
      <c r="M420" s="41"/>
      <c r="N420" s="41"/>
      <c r="O420" s="41"/>
      <c r="P420" s="41"/>
      <c r="Q420" s="170"/>
      <c r="R420" s="37"/>
      <c r="S420" s="37"/>
      <c r="T420" s="40">
        <v>500000</v>
      </c>
      <c r="U420" s="113">
        <v>495000</v>
      </c>
      <c r="V420" s="28" t="s">
        <v>606</v>
      </c>
      <c r="W420" s="37"/>
    </row>
    <row r="421" spans="1:23" x14ac:dyDescent="0.25">
      <c r="A421" s="59"/>
      <c r="B421" s="42"/>
      <c r="C421" s="43"/>
      <c r="D421" s="44"/>
      <c r="E421" s="41"/>
      <c r="F421" s="41"/>
      <c r="G421" s="41"/>
      <c r="H421" s="41"/>
      <c r="I421" s="41"/>
      <c r="J421" s="41"/>
      <c r="K421" s="41"/>
      <c r="L421" s="12"/>
      <c r="M421" s="41"/>
      <c r="N421" s="41"/>
      <c r="O421" s="41"/>
      <c r="P421" s="41"/>
      <c r="Q421" s="170"/>
      <c r="R421" s="37"/>
      <c r="S421" s="37"/>
      <c r="T421" s="40">
        <v>200000</v>
      </c>
      <c r="U421" s="113">
        <v>198000</v>
      </c>
      <c r="V421" s="28" t="s">
        <v>614</v>
      </c>
      <c r="W421" s="37"/>
    </row>
    <row r="422" spans="1:23" x14ac:dyDescent="0.25">
      <c r="A422" s="59"/>
      <c r="B422" s="42"/>
      <c r="C422" s="43"/>
      <c r="D422" s="44"/>
      <c r="E422" s="41"/>
      <c r="F422" s="41"/>
      <c r="G422" s="41"/>
      <c r="H422" s="41"/>
      <c r="I422" s="41"/>
      <c r="J422" s="41"/>
      <c r="K422" s="41"/>
      <c r="L422" s="12"/>
      <c r="M422" s="41"/>
      <c r="N422" s="41"/>
      <c r="O422" s="41"/>
      <c r="P422" s="41"/>
      <c r="Q422" s="170"/>
      <c r="R422" s="37"/>
      <c r="S422" s="37"/>
      <c r="T422" s="40">
        <v>300000</v>
      </c>
      <c r="U422" s="113">
        <v>297000</v>
      </c>
      <c r="V422" s="28" t="s">
        <v>718</v>
      </c>
      <c r="W422" s="37"/>
    </row>
    <row r="423" spans="1:23" x14ac:dyDescent="0.25">
      <c r="A423" s="295">
        <v>66142</v>
      </c>
      <c r="B423" s="296"/>
      <c r="C423" s="297"/>
      <c r="D423" s="298"/>
      <c r="E423" s="299"/>
      <c r="F423" s="299"/>
      <c r="G423" s="299"/>
      <c r="H423" s="299"/>
      <c r="I423" s="299"/>
      <c r="J423" s="299"/>
      <c r="K423" s="299"/>
      <c r="L423" s="299"/>
      <c r="M423" s="299"/>
      <c r="N423" s="299"/>
      <c r="O423" s="299"/>
      <c r="P423" s="299"/>
      <c r="Q423" s="300">
        <f>A423</f>
        <v>66142</v>
      </c>
      <c r="R423" s="259"/>
      <c r="S423" s="259"/>
      <c r="T423" s="259"/>
      <c r="U423" s="260"/>
      <c r="V423" s="261"/>
      <c r="W423" s="261"/>
    </row>
    <row r="424" spans="1:23" x14ac:dyDescent="0.25">
      <c r="A424" s="116"/>
      <c r="B424" s="42" t="s">
        <v>600</v>
      </c>
      <c r="C424" s="43">
        <v>45544</v>
      </c>
      <c r="D424" s="44">
        <v>86</v>
      </c>
      <c r="E424" s="41">
        <v>990000</v>
      </c>
      <c r="F424" s="41"/>
      <c r="G424" s="220">
        <f>E424-F424</f>
        <v>990000</v>
      </c>
      <c r="H424" s="220">
        <f>G424*18%</f>
        <v>178200</v>
      </c>
      <c r="I424" s="41">
        <f>G424+H424</f>
        <v>1168200</v>
      </c>
      <c r="J424" s="41">
        <f>G424*1%</f>
        <v>9900</v>
      </c>
      <c r="K424" s="41">
        <f>G424*5%</f>
        <v>49500</v>
      </c>
      <c r="L424" s="12"/>
      <c r="M424" s="41"/>
      <c r="N424" s="162">
        <f>H424</f>
        <v>178200</v>
      </c>
      <c r="O424" s="41"/>
      <c r="P424" s="41">
        <f>I424-SUM(J424:O424)</f>
        <v>930600</v>
      </c>
      <c r="Q424" s="170"/>
      <c r="R424" s="37">
        <v>2475000</v>
      </c>
      <c r="S424" s="12">
        <f>R424-SUM(T424:T430)</f>
        <v>75000</v>
      </c>
      <c r="T424" s="40">
        <v>500000</v>
      </c>
      <c r="U424" s="113">
        <v>495000</v>
      </c>
      <c r="V424" s="28" t="s">
        <v>605</v>
      </c>
      <c r="W424" s="12">
        <v>-336600</v>
      </c>
    </row>
    <row r="425" spans="1:23" x14ac:dyDescent="0.25">
      <c r="A425" s="59"/>
      <c r="B425" s="42" t="s">
        <v>575</v>
      </c>
      <c r="C425" s="43"/>
      <c r="D425" s="44">
        <v>86</v>
      </c>
      <c r="E425" s="41">
        <f>N424</f>
        <v>178200</v>
      </c>
      <c r="F425" s="41"/>
      <c r="G425" s="41"/>
      <c r="H425" s="41"/>
      <c r="I425" s="41"/>
      <c r="J425" s="41"/>
      <c r="K425" s="41"/>
      <c r="L425" s="12"/>
      <c r="M425" s="41"/>
      <c r="N425" s="41"/>
      <c r="O425" s="41"/>
      <c r="P425" s="41">
        <f>E425</f>
        <v>178200</v>
      </c>
      <c r="Q425" s="170"/>
      <c r="R425" s="37"/>
      <c r="S425" s="37"/>
      <c r="T425" s="40">
        <v>500000</v>
      </c>
      <c r="U425" s="113">
        <v>495000</v>
      </c>
      <c r="V425" s="28" t="s">
        <v>612</v>
      </c>
      <c r="W425" s="12"/>
    </row>
    <row r="426" spans="1:23" x14ac:dyDescent="0.25">
      <c r="A426" s="59"/>
      <c r="B426" s="42" t="s">
        <v>600</v>
      </c>
      <c r="C426" s="43">
        <v>45711</v>
      </c>
      <c r="D426" s="44">
        <v>151</v>
      </c>
      <c r="E426" s="41">
        <v>990000</v>
      </c>
      <c r="F426" s="41"/>
      <c r="G426" s="220">
        <f>E426-F426</f>
        <v>990000</v>
      </c>
      <c r="H426" s="220">
        <f>G426*18%</f>
        <v>178200</v>
      </c>
      <c r="I426" s="41">
        <f>G426+H426</f>
        <v>1168200</v>
      </c>
      <c r="J426" s="41">
        <f>G426*1%</f>
        <v>9900</v>
      </c>
      <c r="K426" s="41">
        <f>G426*5%</f>
        <v>49500</v>
      </c>
      <c r="L426" s="12"/>
      <c r="M426" s="41"/>
      <c r="N426" s="162">
        <f>H426</f>
        <v>178200</v>
      </c>
      <c r="O426" s="41"/>
      <c r="P426" s="41">
        <f>I426-SUM(J426:O426)</f>
        <v>930600</v>
      </c>
      <c r="Q426" s="170"/>
      <c r="R426" s="37"/>
      <c r="S426" s="37"/>
      <c r="T426" s="40">
        <v>300000</v>
      </c>
      <c r="U426" s="113">
        <v>297000</v>
      </c>
      <c r="V426" s="28" t="s">
        <v>615</v>
      </c>
      <c r="W426" s="37"/>
    </row>
    <row r="427" spans="1:23" x14ac:dyDescent="0.25">
      <c r="A427" s="59"/>
      <c r="B427" s="42"/>
      <c r="C427" s="43"/>
      <c r="D427" s="44"/>
      <c r="E427" s="41"/>
      <c r="F427" s="41"/>
      <c r="G427" s="41"/>
      <c r="H427" s="41"/>
      <c r="I427" s="41"/>
      <c r="J427" s="41"/>
      <c r="K427" s="41"/>
      <c r="L427" s="12"/>
      <c r="M427" s="41"/>
      <c r="N427" s="41"/>
      <c r="O427" s="41"/>
      <c r="P427" s="41"/>
      <c r="Q427" s="170"/>
      <c r="R427" s="37"/>
      <c r="S427" s="37"/>
      <c r="T427" s="40">
        <v>500000</v>
      </c>
      <c r="U427" s="113">
        <v>495000</v>
      </c>
      <c r="V427" s="28" t="s">
        <v>625</v>
      </c>
      <c r="W427" s="37"/>
    </row>
    <row r="428" spans="1:23" x14ac:dyDescent="0.25">
      <c r="A428" s="59"/>
      <c r="B428" s="42"/>
      <c r="C428" s="43"/>
      <c r="D428" s="44"/>
      <c r="E428" s="41"/>
      <c r="F428" s="41"/>
      <c r="G428" s="41"/>
      <c r="H428" s="41"/>
      <c r="I428" s="41"/>
      <c r="J428" s="41"/>
      <c r="K428" s="41"/>
      <c r="L428" s="12"/>
      <c r="M428" s="41"/>
      <c r="N428" s="41"/>
      <c r="O428" s="41"/>
      <c r="P428" s="41"/>
      <c r="Q428" s="170"/>
      <c r="R428" s="37"/>
      <c r="S428" s="37"/>
      <c r="T428" s="40">
        <v>200000</v>
      </c>
      <c r="U428" s="113">
        <v>198000</v>
      </c>
      <c r="V428" s="28" t="s">
        <v>626</v>
      </c>
      <c r="W428" s="37"/>
    </row>
    <row r="429" spans="1:23" x14ac:dyDescent="0.25">
      <c r="A429" s="59"/>
      <c r="B429" s="42"/>
      <c r="C429" s="43"/>
      <c r="D429" s="44"/>
      <c r="E429" s="41"/>
      <c r="F429" s="41"/>
      <c r="G429" s="41"/>
      <c r="H429" s="41"/>
      <c r="I429" s="41"/>
      <c r="J429" s="41"/>
      <c r="K429" s="41"/>
      <c r="L429" s="12"/>
      <c r="M429" s="41"/>
      <c r="N429" s="41"/>
      <c r="O429" s="41"/>
      <c r="P429" s="41"/>
      <c r="Q429" s="170"/>
      <c r="R429" s="37"/>
      <c r="S429" s="37"/>
      <c r="T429" s="40">
        <v>200000</v>
      </c>
      <c r="U429" s="113">
        <v>198000</v>
      </c>
      <c r="V429" s="28" t="s">
        <v>640</v>
      </c>
      <c r="W429" s="37"/>
    </row>
    <row r="430" spans="1:23" x14ac:dyDescent="0.25">
      <c r="A430" s="59"/>
      <c r="B430" s="42"/>
      <c r="C430" s="43"/>
      <c r="D430" s="44"/>
      <c r="E430" s="41"/>
      <c r="F430" s="41"/>
      <c r="G430" s="41"/>
      <c r="H430" s="41"/>
      <c r="I430" s="41"/>
      <c r="J430" s="41"/>
      <c r="K430" s="41"/>
      <c r="L430" s="12"/>
      <c r="M430" s="41"/>
      <c r="N430" s="41"/>
      <c r="O430" s="41"/>
      <c r="P430" s="41"/>
      <c r="Q430" s="170"/>
      <c r="R430" s="37"/>
      <c r="S430" s="37"/>
      <c r="T430" s="40">
        <v>200000</v>
      </c>
      <c r="U430" s="113">
        <v>198000</v>
      </c>
      <c r="V430" s="28" t="s">
        <v>706</v>
      </c>
      <c r="W430" s="37"/>
    </row>
    <row r="431" spans="1:23" x14ac:dyDescent="0.25">
      <c r="A431" s="295">
        <v>66143</v>
      </c>
      <c r="B431" s="296"/>
      <c r="C431" s="297"/>
      <c r="D431" s="298"/>
      <c r="E431" s="299"/>
      <c r="F431" s="299"/>
      <c r="G431" s="299"/>
      <c r="H431" s="299"/>
      <c r="I431" s="299"/>
      <c r="J431" s="299"/>
      <c r="K431" s="299"/>
      <c r="L431" s="299"/>
      <c r="M431" s="299"/>
      <c r="N431" s="299"/>
      <c r="O431" s="299"/>
      <c r="P431" s="299"/>
      <c r="Q431" s="300">
        <f>A431</f>
        <v>66143</v>
      </c>
      <c r="R431" s="259"/>
      <c r="S431" s="259"/>
      <c r="T431" s="259"/>
      <c r="U431" s="260"/>
      <c r="V431" s="261"/>
      <c r="W431" s="261"/>
    </row>
    <row r="432" spans="1:23" x14ac:dyDescent="0.25">
      <c r="A432" s="59"/>
      <c r="B432" s="42" t="s">
        <v>601</v>
      </c>
      <c r="C432" s="43">
        <v>45544</v>
      </c>
      <c r="D432" s="44">
        <v>78</v>
      </c>
      <c r="E432" s="41">
        <v>990000</v>
      </c>
      <c r="F432" s="41"/>
      <c r="G432" s="220">
        <f>E432-F432</f>
        <v>990000</v>
      </c>
      <c r="H432" s="220">
        <f>G432*18%</f>
        <v>178200</v>
      </c>
      <c r="I432" s="41">
        <f>G432+H432</f>
        <v>1168200</v>
      </c>
      <c r="J432" s="41">
        <f>G432*1%</f>
        <v>9900</v>
      </c>
      <c r="K432" s="41">
        <f>G432*5%</f>
        <v>49500</v>
      </c>
      <c r="L432" s="12"/>
      <c r="M432" s="41"/>
      <c r="N432" s="162">
        <f>H432</f>
        <v>178200</v>
      </c>
      <c r="O432" s="41"/>
      <c r="P432" s="41">
        <f>I432-SUM(J432:O432)</f>
        <v>930600</v>
      </c>
      <c r="Q432" s="170"/>
      <c r="R432" s="37">
        <v>2475000</v>
      </c>
      <c r="S432" s="12">
        <f>R433-SUM(T432:T437)</f>
        <v>3750</v>
      </c>
      <c r="T432" s="40">
        <v>500000</v>
      </c>
      <c r="U432" s="113">
        <v>495000</v>
      </c>
      <c r="V432" s="28" t="s">
        <v>604</v>
      </c>
      <c r="W432" s="37"/>
    </row>
    <row r="433" spans="1:23" x14ac:dyDescent="0.25">
      <c r="A433" s="59"/>
      <c r="B433" s="42" t="s">
        <v>575</v>
      </c>
      <c r="C433" s="43"/>
      <c r="D433" s="44">
        <v>78</v>
      </c>
      <c r="E433" s="41">
        <f>N432</f>
        <v>178200</v>
      </c>
      <c r="F433" s="41"/>
      <c r="G433" s="41"/>
      <c r="H433" s="41"/>
      <c r="I433" s="41"/>
      <c r="J433" s="41"/>
      <c r="K433" s="41"/>
      <c r="L433" s="12"/>
      <c r="M433" s="41"/>
      <c r="N433" s="41"/>
      <c r="O433" s="41"/>
      <c r="P433" s="41">
        <f>E433</f>
        <v>178200</v>
      </c>
      <c r="Q433" s="170"/>
      <c r="R433" s="37">
        <f>R432*85%</f>
        <v>2103750</v>
      </c>
      <c r="S433" s="37"/>
      <c r="T433" s="40">
        <v>200000</v>
      </c>
      <c r="U433" s="113">
        <v>198000</v>
      </c>
      <c r="V433" s="28" t="s">
        <v>611</v>
      </c>
      <c r="W433" s="12">
        <f>SUM(P432:P437)-SUM(U432:U437)</f>
        <v>-970200</v>
      </c>
    </row>
    <row r="434" spans="1:23" x14ac:dyDescent="0.25">
      <c r="A434" s="59"/>
      <c r="B434" s="42"/>
      <c r="C434" s="43"/>
      <c r="D434" s="44"/>
      <c r="E434" s="41"/>
      <c r="F434" s="41"/>
      <c r="G434" s="41"/>
      <c r="H434" s="41"/>
      <c r="I434" s="41"/>
      <c r="J434" s="41"/>
      <c r="K434" s="41"/>
      <c r="L434" s="12"/>
      <c r="M434" s="41"/>
      <c r="N434" s="41"/>
      <c r="O434" s="41"/>
      <c r="P434" s="41"/>
      <c r="Q434" s="170"/>
      <c r="R434" s="37"/>
      <c r="S434" s="37"/>
      <c r="T434" s="40">
        <v>500000</v>
      </c>
      <c r="U434" s="113">
        <v>495000</v>
      </c>
      <c r="V434" s="28" t="s">
        <v>623</v>
      </c>
      <c r="W434" s="37"/>
    </row>
    <row r="435" spans="1:23" x14ac:dyDescent="0.25">
      <c r="A435" s="59"/>
      <c r="B435" s="42"/>
      <c r="C435" s="43"/>
      <c r="D435" s="44"/>
      <c r="E435" s="41"/>
      <c r="F435" s="41"/>
      <c r="G435" s="41"/>
      <c r="H435" s="41"/>
      <c r="I435" s="41"/>
      <c r="J435" s="41"/>
      <c r="K435" s="41"/>
      <c r="L435" s="12"/>
      <c r="M435" s="41"/>
      <c r="N435" s="41"/>
      <c r="O435" s="41"/>
      <c r="P435" s="41"/>
      <c r="Q435" s="170"/>
      <c r="R435" s="37"/>
      <c r="S435" s="37"/>
      <c r="T435" s="40">
        <v>300000</v>
      </c>
      <c r="U435" s="113">
        <v>297000</v>
      </c>
      <c r="V435" s="28" t="s">
        <v>624</v>
      </c>
      <c r="W435" s="37"/>
    </row>
    <row r="436" spans="1:23" x14ac:dyDescent="0.25">
      <c r="A436" s="59"/>
      <c r="B436" s="42"/>
      <c r="C436" s="43"/>
      <c r="D436" s="44"/>
      <c r="E436" s="41"/>
      <c r="F436" s="41"/>
      <c r="G436" s="41"/>
      <c r="H436" s="41"/>
      <c r="I436" s="41"/>
      <c r="J436" s="41"/>
      <c r="K436" s="41"/>
      <c r="L436" s="12"/>
      <c r="M436" s="41"/>
      <c r="N436" s="41"/>
      <c r="O436" s="41"/>
      <c r="P436" s="41"/>
      <c r="Q436" s="170"/>
      <c r="R436" s="37"/>
      <c r="S436" s="37"/>
      <c r="T436" s="40">
        <v>200000</v>
      </c>
      <c r="U436" s="113">
        <v>198000</v>
      </c>
      <c r="V436" s="28" t="s">
        <v>638</v>
      </c>
      <c r="W436" s="37"/>
    </row>
    <row r="437" spans="1:23" x14ac:dyDescent="0.25">
      <c r="A437" s="59"/>
      <c r="B437" s="42"/>
      <c r="C437" s="43"/>
      <c r="D437" s="44"/>
      <c r="E437" s="41"/>
      <c r="F437" s="41"/>
      <c r="G437" s="41"/>
      <c r="H437" s="41"/>
      <c r="I437" s="41"/>
      <c r="J437" s="41"/>
      <c r="K437" s="41"/>
      <c r="L437" s="12"/>
      <c r="M437" s="41"/>
      <c r="N437" s="41"/>
      <c r="O437" s="41"/>
      <c r="P437" s="41"/>
      <c r="Q437" s="170"/>
      <c r="R437" s="37"/>
      <c r="S437" s="37"/>
      <c r="T437" s="40">
        <v>400000</v>
      </c>
      <c r="U437" s="113">
        <f t="shared" ref="U437" si="72">T437-1%*T437</f>
        <v>396000</v>
      </c>
      <c r="V437" s="28" t="s">
        <v>696</v>
      </c>
      <c r="W437" s="37"/>
    </row>
    <row r="438" spans="1:23" x14ac:dyDescent="0.25">
      <c r="A438" s="295">
        <v>67107</v>
      </c>
      <c r="B438" s="296"/>
      <c r="C438" s="297"/>
      <c r="D438" s="298"/>
      <c r="E438" s="299"/>
      <c r="F438" s="299"/>
      <c r="G438" s="299"/>
      <c r="H438" s="299"/>
      <c r="I438" s="299"/>
      <c r="J438" s="299"/>
      <c r="K438" s="299"/>
      <c r="L438" s="299"/>
      <c r="M438" s="299"/>
      <c r="N438" s="299"/>
      <c r="O438" s="299"/>
      <c r="P438" s="299"/>
      <c r="Q438" s="300">
        <f>A438</f>
        <v>67107</v>
      </c>
      <c r="R438" s="259"/>
      <c r="S438" s="259"/>
      <c r="T438" s="259"/>
      <c r="U438" s="260"/>
      <c r="V438" s="261"/>
      <c r="W438" s="261"/>
    </row>
    <row r="439" spans="1:23" ht="57" x14ac:dyDescent="0.25">
      <c r="A439" s="59"/>
      <c r="B439" s="42" t="s">
        <v>668</v>
      </c>
      <c r="C439" s="43">
        <v>45633</v>
      </c>
      <c r="D439" s="44">
        <v>96</v>
      </c>
      <c r="E439" s="41">
        <v>2388750</v>
      </c>
      <c r="F439" s="41"/>
      <c r="G439" s="220">
        <f>E439-F439</f>
        <v>2388750</v>
      </c>
      <c r="H439" s="220">
        <f>G439*18%</f>
        <v>429975</v>
      </c>
      <c r="I439" s="41">
        <f>G439+H439</f>
        <v>2818725</v>
      </c>
      <c r="J439" s="41">
        <f>G439*1%</f>
        <v>23887.5</v>
      </c>
      <c r="K439" s="41">
        <f>G439*5%</f>
        <v>119437.5</v>
      </c>
      <c r="L439" s="12"/>
      <c r="M439" s="41"/>
      <c r="N439" s="162">
        <f>H439</f>
        <v>429975</v>
      </c>
      <c r="O439" s="41"/>
      <c r="P439" s="41">
        <f>I439-SUM(J439:O439)</f>
        <v>2245425</v>
      </c>
      <c r="Q439" s="170"/>
      <c r="R439" s="37">
        <v>3412500</v>
      </c>
      <c r="S439" s="12">
        <f>R439-SUM(T439:T445)</f>
        <v>12500</v>
      </c>
      <c r="T439" s="40">
        <v>1000000</v>
      </c>
      <c r="U439" s="113">
        <v>990000</v>
      </c>
      <c r="V439" s="28" t="s">
        <v>676</v>
      </c>
      <c r="W439" s="37"/>
    </row>
    <row r="440" spans="1:23" x14ac:dyDescent="0.25">
      <c r="A440" s="59"/>
      <c r="B440" s="42" t="s">
        <v>575</v>
      </c>
      <c r="C440" s="43"/>
      <c r="D440" s="44">
        <v>96</v>
      </c>
      <c r="E440" s="41">
        <f>N439</f>
        <v>429975</v>
      </c>
      <c r="F440" s="41"/>
      <c r="G440" s="41"/>
      <c r="H440" s="41"/>
      <c r="I440" s="41"/>
      <c r="J440" s="41"/>
      <c r="K440" s="41"/>
      <c r="L440" s="12"/>
      <c r="M440" s="41"/>
      <c r="N440" s="41"/>
      <c r="O440" s="41"/>
      <c r="P440" s="41">
        <f>E440</f>
        <v>429975</v>
      </c>
      <c r="Q440" s="170"/>
      <c r="R440" s="37"/>
      <c r="S440" s="37"/>
      <c r="T440" s="40">
        <v>500000</v>
      </c>
      <c r="U440" s="113">
        <v>495000</v>
      </c>
      <c r="V440" s="28" t="s">
        <v>677</v>
      </c>
      <c r="W440" s="12">
        <f>SUM(P439:P445)-SUM(U439:U445)</f>
        <v>-690600</v>
      </c>
    </row>
    <row r="441" spans="1:23" x14ac:dyDescent="0.25">
      <c r="A441" s="59"/>
      <c r="B441" s="42"/>
      <c r="C441" s="43"/>
      <c r="D441" s="44"/>
      <c r="E441" s="41"/>
      <c r="F441" s="41"/>
      <c r="G441" s="41"/>
      <c r="H441" s="41"/>
      <c r="I441" s="41"/>
      <c r="J441" s="41"/>
      <c r="K441" s="41"/>
      <c r="L441" s="12"/>
      <c r="M441" s="41"/>
      <c r="N441" s="41"/>
      <c r="O441" s="41"/>
      <c r="P441" s="41"/>
      <c r="Q441" s="170"/>
      <c r="R441" s="37"/>
      <c r="S441" s="37"/>
      <c r="T441" s="40">
        <v>500000</v>
      </c>
      <c r="U441" s="113">
        <v>495000</v>
      </c>
      <c r="V441" s="28" t="s">
        <v>689</v>
      </c>
      <c r="W441" s="37"/>
    </row>
    <row r="442" spans="1:23" x14ac:dyDescent="0.25">
      <c r="A442" s="59"/>
      <c r="B442" s="42"/>
      <c r="C442" s="43"/>
      <c r="D442" s="44"/>
      <c r="E442" s="41"/>
      <c r="F442" s="41"/>
      <c r="G442" s="41"/>
      <c r="H442" s="41"/>
      <c r="I442" s="41"/>
      <c r="J442" s="41"/>
      <c r="K442" s="41"/>
      <c r="L442" s="12"/>
      <c r="M442" s="41"/>
      <c r="N442" s="41"/>
      <c r="O442" s="41"/>
      <c r="P442" s="41"/>
      <c r="Q442" s="170"/>
      <c r="R442" s="37"/>
      <c r="S442" s="37"/>
      <c r="T442" s="40">
        <v>500000</v>
      </c>
      <c r="U442" s="113">
        <v>495000</v>
      </c>
      <c r="V442" s="28" t="s">
        <v>690</v>
      </c>
      <c r="W442" s="37"/>
    </row>
    <row r="443" spans="1:23" x14ac:dyDescent="0.25">
      <c r="A443" s="59"/>
      <c r="B443" s="42"/>
      <c r="C443" s="43"/>
      <c r="D443" s="44"/>
      <c r="E443" s="41"/>
      <c r="F443" s="41"/>
      <c r="G443" s="41"/>
      <c r="H443" s="41"/>
      <c r="I443" s="41"/>
      <c r="J443" s="41"/>
      <c r="K443" s="41"/>
      <c r="L443" s="12"/>
      <c r="M443" s="41"/>
      <c r="N443" s="41"/>
      <c r="O443" s="41"/>
      <c r="P443" s="41"/>
      <c r="Q443" s="170"/>
      <c r="R443" s="37"/>
      <c r="S443" s="37"/>
      <c r="T443" s="40">
        <v>500000</v>
      </c>
      <c r="U443" s="113">
        <v>495000</v>
      </c>
      <c r="V443" s="28" t="s">
        <v>692</v>
      </c>
      <c r="W443" s="37"/>
    </row>
    <row r="444" spans="1:23" x14ac:dyDescent="0.25">
      <c r="A444" s="59"/>
      <c r="B444" s="42"/>
      <c r="C444" s="43"/>
      <c r="D444" s="44"/>
      <c r="E444" s="41"/>
      <c r="F444" s="41"/>
      <c r="G444" s="41"/>
      <c r="H444" s="41"/>
      <c r="I444" s="41"/>
      <c r="J444" s="41"/>
      <c r="K444" s="41"/>
      <c r="L444" s="12"/>
      <c r="M444" s="41"/>
      <c r="N444" s="41"/>
      <c r="O444" s="41"/>
      <c r="P444" s="41"/>
      <c r="Q444" s="170"/>
      <c r="R444" s="37"/>
      <c r="S444" s="37"/>
      <c r="T444" s="40">
        <v>200000</v>
      </c>
      <c r="U444" s="113">
        <v>198000</v>
      </c>
      <c r="V444" s="28" t="s">
        <v>705</v>
      </c>
      <c r="W444" s="37"/>
    </row>
    <row r="445" spans="1:23" x14ac:dyDescent="0.25">
      <c r="A445" s="59"/>
      <c r="B445" s="42"/>
      <c r="C445" s="43"/>
      <c r="D445" s="44"/>
      <c r="E445" s="41"/>
      <c r="F445" s="41"/>
      <c r="G445" s="41"/>
      <c r="H445" s="41"/>
      <c r="I445" s="41"/>
      <c r="J445" s="41"/>
      <c r="K445" s="41"/>
      <c r="L445" s="12"/>
      <c r="M445" s="41"/>
      <c r="N445" s="41"/>
      <c r="O445" s="41"/>
      <c r="P445" s="41"/>
      <c r="Q445" s="170"/>
      <c r="R445" s="37"/>
      <c r="S445" s="37"/>
      <c r="T445" s="40">
        <v>200000</v>
      </c>
      <c r="U445" s="113">
        <v>198000</v>
      </c>
      <c r="V445" s="28" t="s">
        <v>719</v>
      </c>
      <c r="W445" s="37"/>
    </row>
    <row r="446" spans="1:23" x14ac:dyDescent="0.25">
      <c r="A446" s="295">
        <v>67108</v>
      </c>
      <c r="B446" s="296"/>
      <c r="C446" s="297"/>
      <c r="D446" s="298"/>
      <c r="E446" s="299"/>
      <c r="F446" s="299"/>
      <c r="G446" s="299"/>
      <c r="H446" s="299"/>
      <c r="I446" s="299"/>
      <c r="J446" s="299"/>
      <c r="K446" s="299"/>
      <c r="L446" s="299"/>
      <c r="M446" s="299"/>
      <c r="N446" s="299"/>
      <c r="O446" s="299"/>
      <c r="P446" s="299"/>
      <c r="Q446" s="300">
        <f>A446</f>
        <v>67108</v>
      </c>
      <c r="R446" s="259"/>
      <c r="S446" s="259"/>
      <c r="T446" s="259"/>
      <c r="U446" s="260"/>
      <c r="V446" s="261"/>
      <c r="W446" s="261"/>
    </row>
    <row r="447" spans="1:23" ht="42.75" x14ac:dyDescent="0.25">
      <c r="A447" s="59"/>
      <c r="B447" s="42" t="s">
        <v>669</v>
      </c>
      <c r="C447" s="43">
        <v>45628</v>
      </c>
      <c r="D447" s="44">
        <v>91</v>
      </c>
      <c r="E447" s="41">
        <v>1568000</v>
      </c>
      <c r="F447" s="41"/>
      <c r="G447" s="220">
        <f>E447-F447</f>
        <v>1568000</v>
      </c>
      <c r="H447" s="220">
        <f>G447*18%</f>
        <v>282240</v>
      </c>
      <c r="I447" s="41">
        <f>G447+H447</f>
        <v>1850240</v>
      </c>
      <c r="J447" s="41">
        <f>G447*1%</f>
        <v>15680</v>
      </c>
      <c r="K447" s="41">
        <f>G447*5%</f>
        <v>78400</v>
      </c>
      <c r="L447" s="12"/>
      <c r="M447" s="41"/>
      <c r="N447" s="162">
        <f>H447</f>
        <v>282240</v>
      </c>
      <c r="O447" s="41">
        <v>98000</v>
      </c>
      <c r="P447" s="41">
        <f>I447-SUM(J447:O447)</f>
        <v>1375920</v>
      </c>
      <c r="Q447" s="170"/>
      <c r="R447" s="37">
        <v>1960000</v>
      </c>
      <c r="S447" s="12">
        <f>R447-SUM(T447:T450)</f>
        <v>60000</v>
      </c>
      <c r="T447" s="40">
        <v>500000</v>
      </c>
      <c r="U447" s="113">
        <v>495000</v>
      </c>
      <c r="V447" s="28" t="s">
        <v>678</v>
      </c>
      <c r="W447" s="37"/>
    </row>
    <row r="448" spans="1:23" x14ac:dyDescent="0.15">
      <c r="A448" s="59"/>
      <c r="B448" s="31" t="s">
        <v>114</v>
      </c>
      <c r="C448" s="22"/>
      <c r="D448" s="32">
        <v>91</v>
      </c>
      <c r="E448" s="12">
        <f>N447</f>
        <v>282240</v>
      </c>
      <c r="F448" s="12"/>
      <c r="G448" s="12"/>
      <c r="H448" s="41"/>
      <c r="I448" s="12"/>
      <c r="J448" s="12"/>
      <c r="K448" s="12"/>
      <c r="L448" s="12"/>
      <c r="M448" s="12">
        <f>G448*10%</f>
        <v>0</v>
      </c>
      <c r="N448" s="12"/>
      <c r="O448" s="12"/>
      <c r="P448" s="12">
        <f>E448</f>
        <v>282240</v>
      </c>
      <c r="Q448" s="170"/>
      <c r="R448" s="37"/>
      <c r="S448" s="37"/>
      <c r="T448" s="40">
        <v>500000</v>
      </c>
      <c r="U448" s="113">
        <v>495000</v>
      </c>
      <c r="V448" s="242" t="s">
        <v>684</v>
      </c>
      <c r="W448" s="12">
        <f>SUM(P447:P450)-SUM(U447:U450)</f>
        <v>-222840</v>
      </c>
    </row>
    <row r="449" spans="1:23" x14ac:dyDescent="0.15">
      <c r="A449" s="59"/>
      <c r="B449" s="42"/>
      <c r="C449" s="43"/>
      <c r="D449" s="44"/>
      <c r="E449" s="41"/>
      <c r="F449" s="41"/>
      <c r="G449" s="41"/>
      <c r="H449" s="41"/>
      <c r="I449" s="41"/>
      <c r="J449" s="41"/>
      <c r="K449" s="41"/>
      <c r="L449" s="12"/>
      <c r="M449" s="41"/>
      <c r="N449" s="162"/>
      <c r="O449" s="41"/>
      <c r="P449" s="41"/>
      <c r="Q449" s="170"/>
      <c r="R449" s="37"/>
      <c r="S449" s="37"/>
      <c r="T449" s="40">
        <v>500000</v>
      </c>
      <c r="U449" s="113">
        <v>495000</v>
      </c>
      <c r="V449" s="242" t="s">
        <v>685</v>
      </c>
      <c r="W449" s="37"/>
    </row>
    <row r="450" spans="1:23" x14ac:dyDescent="0.15">
      <c r="A450" s="59"/>
      <c r="B450" s="42"/>
      <c r="C450" s="43"/>
      <c r="D450" s="44"/>
      <c r="E450" s="41"/>
      <c r="F450" s="41"/>
      <c r="G450" s="41"/>
      <c r="H450" s="41"/>
      <c r="I450" s="41"/>
      <c r="J450" s="41"/>
      <c r="K450" s="41"/>
      <c r="L450" s="12"/>
      <c r="M450" s="41"/>
      <c r="N450" s="162"/>
      <c r="O450" s="41"/>
      <c r="P450" s="41"/>
      <c r="Q450" s="170"/>
      <c r="R450" s="37"/>
      <c r="S450" s="37"/>
      <c r="T450" s="40">
        <v>400000</v>
      </c>
      <c r="U450" s="113">
        <f t="shared" ref="U450" si="73">T450-1%*T450</f>
        <v>396000</v>
      </c>
      <c r="V450" s="242" t="s">
        <v>697</v>
      </c>
      <c r="W450" s="37"/>
    </row>
    <row r="451" spans="1:23" x14ac:dyDescent="0.25">
      <c r="A451" s="295">
        <v>67109</v>
      </c>
      <c r="B451" s="296"/>
      <c r="C451" s="297"/>
      <c r="D451" s="298"/>
      <c r="E451" s="299"/>
      <c r="F451" s="299"/>
      <c r="G451" s="299"/>
      <c r="H451" s="299"/>
      <c r="I451" s="299"/>
      <c r="J451" s="299"/>
      <c r="K451" s="299"/>
      <c r="L451" s="299"/>
      <c r="M451" s="299"/>
      <c r="N451" s="299"/>
      <c r="O451" s="299"/>
      <c r="P451" s="299"/>
      <c r="Q451" s="300">
        <f>A451</f>
        <v>67109</v>
      </c>
      <c r="R451" s="259"/>
      <c r="S451" s="259"/>
      <c r="T451" s="259"/>
      <c r="U451" s="260"/>
      <c r="V451" s="261"/>
      <c r="W451" s="261"/>
    </row>
    <row r="452" spans="1:23" ht="57" x14ac:dyDescent="0.25">
      <c r="A452" s="59"/>
      <c r="B452" s="42" t="s">
        <v>670</v>
      </c>
      <c r="C452" s="43">
        <v>45631</v>
      </c>
      <c r="D452" s="44">
        <v>92</v>
      </c>
      <c r="E452" s="41">
        <v>1980000</v>
      </c>
      <c r="F452" s="41"/>
      <c r="G452" s="220">
        <f>E452-F452</f>
        <v>1980000</v>
      </c>
      <c r="H452" s="220">
        <f>G452*18%</f>
        <v>356400</v>
      </c>
      <c r="I452" s="41">
        <f>G452+H452</f>
        <v>2336400</v>
      </c>
      <c r="J452" s="41">
        <f>G452*1%</f>
        <v>19800</v>
      </c>
      <c r="K452" s="41">
        <f>G452*5%</f>
        <v>99000</v>
      </c>
      <c r="L452" s="12"/>
      <c r="M452" s="41"/>
      <c r="N452" s="162">
        <f>H452</f>
        <v>356400</v>
      </c>
      <c r="O452" s="41">
        <v>123750</v>
      </c>
      <c r="P452" s="41">
        <f>I452-SUM(J452:O452)</f>
        <v>1737450</v>
      </c>
      <c r="Q452" s="170"/>
      <c r="R452" s="37">
        <v>2475000</v>
      </c>
      <c r="S452" s="12">
        <f>R452-SUM(T452:T456)</f>
        <v>75000</v>
      </c>
      <c r="T452" s="40">
        <v>500000</v>
      </c>
      <c r="U452" s="113">
        <v>495000</v>
      </c>
      <c r="V452" s="28" t="s">
        <v>682</v>
      </c>
      <c r="W452" s="37"/>
    </row>
    <row r="453" spans="1:23" x14ac:dyDescent="0.25">
      <c r="A453" s="59"/>
      <c r="B453" s="31" t="s">
        <v>114</v>
      </c>
      <c r="C453" s="22"/>
      <c r="D453" s="32">
        <v>92</v>
      </c>
      <c r="E453" s="12">
        <f>N452</f>
        <v>356400</v>
      </c>
      <c r="F453" s="12"/>
      <c r="G453" s="12"/>
      <c r="H453" s="41"/>
      <c r="I453" s="12"/>
      <c r="J453" s="12"/>
      <c r="K453" s="12"/>
      <c r="L453" s="12"/>
      <c r="M453" s="12">
        <f>G453*10%</f>
        <v>0</v>
      </c>
      <c r="N453" s="12"/>
      <c r="O453" s="12"/>
      <c r="P453" s="12">
        <f>E453</f>
        <v>356400</v>
      </c>
      <c r="Q453" s="170"/>
      <c r="R453" s="37"/>
      <c r="S453" s="37"/>
      <c r="T453" s="40">
        <v>500000</v>
      </c>
      <c r="U453" s="113">
        <v>495000</v>
      </c>
      <c r="V453" s="28" t="s">
        <v>683</v>
      </c>
      <c r="W453" s="12">
        <f>SUM(P452:P456)-SUM(U452:U456)</f>
        <v>-282150</v>
      </c>
    </row>
    <row r="454" spans="1:23" x14ac:dyDescent="0.25">
      <c r="A454" s="59"/>
      <c r="B454" s="42"/>
      <c r="C454" s="43"/>
      <c r="D454" s="44"/>
      <c r="E454" s="220"/>
      <c r="F454" s="41"/>
      <c r="G454" s="41"/>
      <c r="H454" s="41"/>
      <c r="I454" s="41"/>
      <c r="J454" s="41"/>
      <c r="K454" s="41"/>
      <c r="L454" s="12"/>
      <c r="M454" s="41"/>
      <c r="N454" s="41"/>
      <c r="O454" s="41"/>
      <c r="P454" s="41"/>
      <c r="Q454" s="170"/>
      <c r="R454" s="37"/>
      <c r="S454" s="37"/>
      <c r="T454" s="40">
        <v>500000</v>
      </c>
      <c r="U454" s="113">
        <v>495000</v>
      </c>
      <c r="V454" s="28" t="s">
        <v>688</v>
      </c>
      <c r="W454" s="37"/>
    </row>
    <row r="455" spans="1:23" x14ac:dyDescent="0.25">
      <c r="A455" s="59"/>
      <c r="B455" s="42"/>
      <c r="C455" s="43"/>
      <c r="D455" s="44"/>
      <c r="E455" s="41"/>
      <c r="F455" s="41"/>
      <c r="G455" s="41"/>
      <c r="H455" s="41"/>
      <c r="I455" s="41"/>
      <c r="J455" s="41"/>
      <c r="K455" s="41"/>
      <c r="L455" s="12"/>
      <c r="M455" s="41"/>
      <c r="N455" s="41"/>
      <c r="O455" s="41"/>
      <c r="P455" s="41"/>
      <c r="Q455" s="170"/>
      <c r="R455" s="37"/>
      <c r="S455" s="37"/>
      <c r="T455" s="40">
        <v>500000</v>
      </c>
      <c r="U455" s="113">
        <v>495000</v>
      </c>
      <c r="V455" s="28" t="s">
        <v>693</v>
      </c>
      <c r="W455" s="37"/>
    </row>
    <row r="456" spans="1:23" x14ac:dyDescent="0.25">
      <c r="A456" s="59"/>
      <c r="B456" s="42"/>
      <c r="C456" s="43"/>
      <c r="D456" s="44"/>
      <c r="E456" s="41"/>
      <c r="F456" s="41"/>
      <c r="G456" s="41"/>
      <c r="H456" s="41"/>
      <c r="I456" s="41"/>
      <c r="J456" s="41"/>
      <c r="K456" s="41"/>
      <c r="L456" s="12"/>
      <c r="M456" s="41"/>
      <c r="N456" s="41"/>
      <c r="O456" s="41"/>
      <c r="P456" s="41"/>
      <c r="Q456" s="170"/>
      <c r="R456" s="37"/>
      <c r="S456" s="37"/>
      <c r="T456" s="40">
        <v>400000</v>
      </c>
      <c r="U456" s="113">
        <f t="shared" ref="U456" si="74">T456-1%*T456</f>
        <v>396000</v>
      </c>
      <c r="V456" s="327" t="s">
        <v>700</v>
      </c>
      <c r="W456" s="37"/>
    </row>
    <row r="457" spans="1:23" ht="15.75" thickBot="1" x14ac:dyDescent="0.3">
      <c r="A457" s="295">
        <v>68565</v>
      </c>
      <c r="B457" s="296"/>
      <c r="C457" s="297"/>
      <c r="D457" s="298"/>
      <c r="E457" s="299"/>
      <c r="F457" s="299"/>
      <c r="G457" s="299"/>
      <c r="H457" s="299"/>
      <c r="I457" s="299"/>
      <c r="J457" s="299"/>
      <c r="K457" s="299"/>
      <c r="L457" s="299"/>
      <c r="M457" s="299"/>
      <c r="N457" s="299"/>
      <c r="O457" s="299"/>
      <c r="P457" s="299"/>
      <c r="Q457" s="300">
        <f>A457</f>
        <v>68565</v>
      </c>
      <c r="R457" s="259"/>
      <c r="S457" s="259"/>
      <c r="T457" s="259"/>
      <c r="U457" s="325"/>
      <c r="V457" s="326"/>
      <c r="W457" s="326"/>
    </row>
    <row r="458" spans="1:23" ht="28.5" x14ac:dyDescent="0.25">
      <c r="A458" s="59"/>
      <c r="B458" s="42" t="s">
        <v>739</v>
      </c>
      <c r="C458" s="22">
        <v>45711</v>
      </c>
      <c r="D458" s="32">
        <v>155</v>
      </c>
      <c r="E458" s="12">
        <v>255938</v>
      </c>
      <c r="F458" s="12"/>
      <c r="G458" s="12">
        <f>E458-F458</f>
        <v>255938</v>
      </c>
      <c r="H458" s="12">
        <f>G458*18%</f>
        <v>46068.84</v>
      </c>
      <c r="I458" s="41">
        <f>G458+H458</f>
        <v>302006.83999999997</v>
      </c>
      <c r="J458" s="41">
        <f>G458*1%</f>
        <v>2559.38</v>
      </c>
      <c r="K458" s="41">
        <f>G458*5%</f>
        <v>12796.900000000001</v>
      </c>
      <c r="L458" s="12"/>
      <c r="M458" s="41"/>
      <c r="N458" s="162">
        <f>H458</f>
        <v>46068.84</v>
      </c>
      <c r="O458" s="41">
        <v>0</v>
      </c>
      <c r="P458" s="41">
        <f>I458-SUM(J458:O458)</f>
        <v>240581.71999999997</v>
      </c>
      <c r="Q458" s="170"/>
      <c r="R458" s="37">
        <v>1706250</v>
      </c>
      <c r="S458" s="12">
        <f>R458-SUM(T458:T460)</f>
        <v>506250</v>
      </c>
      <c r="T458" s="244">
        <v>200000</v>
      </c>
      <c r="U458" s="245">
        <v>200000</v>
      </c>
      <c r="V458" s="246" t="s">
        <v>754</v>
      </c>
      <c r="W458" s="37"/>
    </row>
    <row r="459" spans="1:23" x14ac:dyDescent="0.15">
      <c r="A459" s="59"/>
      <c r="B459" s="31" t="s">
        <v>114</v>
      </c>
      <c r="C459" s="22"/>
      <c r="D459" s="32"/>
      <c r="E459" s="12"/>
      <c r="F459" s="12"/>
      <c r="G459" s="12"/>
      <c r="H459" s="41"/>
      <c r="I459" s="12"/>
      <c r="J459" s="12"/>
      <c r="K459" s="12"/>
      <c r="L459" s="12"/>
      <c r="M459" s="12">
        <f>G459*10%</f>
        <v>0</v>
      </c>
      <c r="N459" s="12"/>
      <c r="O459" s="12"/>
      <c r="P459" s="12">
        <f>E459</f>
        <v>0</v>
      </c>
      <c r="Q459" s="170"/>
      <c r="R459" s="37"/>
      <c r="S459" s="37"/>
      <c r="T459" s="244">
        <v>500000</v>
      </c>
      <c r="U459" s="255">
        <v>495000</v>
      </c>
      <c r="V459" s="256" t="s">
        <v>760</v>
      </c>
      <c r="W459" s="12">
        <v>-1444418.28</v>
      </c>
    </row>
    <row r="460" spans="1:23" x14ac:dyDescent="0.15">
      <c r="A460" s="59"/>
      <c r="B460" s="31"/>
      <c r="C460" s="22"/>
      <c r="D460" s="32"/>
      <c r="E460" s="12"/>
      <c r="F460" s="12"/>
      <c r="G460" s="12"/>
      <c r="H460" s="41"/>
      <c r="I460" s="12"/>
      <c r="J460" s="12"/>
      <c r="K460" s="12"/>
      <c r="L460" s="12"/>
      <c r="M460" s="12"/>
      <c r="N460" s="12"/>
      <c r="O460" s="12"/>
      <c r="P460" s="12"/>
      <c r="Q460" s="170"/>
      <c r="R460" s="37"/>
      <c r="S460" s="37"/>
      <c r="T460" s="257">
        <v>500000</v>
      </c>
      <c r="U460" s="255">
        <v>495000</v>
      </c>
      <c r="V460" s="256" t="s">
        <v>764</v>
      </c>
      <c r="W460" s="190"/>
    </row>
    <row r="461" spans="1:23" ht="15.75" thickBot="1" x14ac:dyDescent="0.2">
      <c r="A461" s="59"/>
      <c r="B461" s="31"/>
      <c r="C461" s="22"/>
      <c r="D461" s="32"/>
      <c r="E461" s="12"/>
      <c r="F461" s="12"/>
      <c r="G461" s="12"/>
      <c r="H461" s="41"/>
      <c r="I461" s="12"/>
      <c r="J461" s="12"/>
      <c r="K461" s="12"/>
      <c r="L461" s="12"/>
      <c r="M461" s="12"/>
      <c r="N461" s="12"/>
      <c r="O461" s="12"/>
      <c r="P461" s="12"/>
      <c r="Q461" s="170"/>
      <c r="R461" s="37"/>
      <c r="S461" s="102"/>
      <c r="T461" s="323">
        <v>500000</v>
      </c>
      <c r="U461" s="324">
        <v>495000</v>
      </c>
      <c r="V461" s="221" t="s">
        <v>774</v>
      </c>
      <c r="W461" s="190"/>
    </row>
    <row r="462" spans="1:23" ht="15.75" thickBot="1" x14ac:dyDescent="0.3">
      <c r="A462" s="295">
        <v>68566</v>
      </c>
      <c r="B462" s="296"/>
      <c r="C462" s="297"/>
      <c r="D462" s="298"/>
      <c r="E462" s="299"/>
      <c r="F462" s="299"/>
      <c r="G462" s="299"/>
      <c r="H462" s="299"/>
      <c r="I462" s="299"/>
      <c r="J462" s="299"/>
      <c r="K462" s="299"/>
      <c r="L462" s="299"/>
      <c r="M462" s="299"/>
      <c r="N462" s="299"/>
      <c r="O462" s="299"/>
      <c r="P462" s="299"/>
      <c r="Q462" s="300">
        <f>A462</f>
        <v>68566</v>
      </c>
      <c r="R462" s="259"/>
      <c r="S462" s="259"/>
      <c r="T462" s="315"/>
      <c r="U462" s="317"/>
      <c r="V462" s="318"/>
      <c r="W462" s="318"/>
    </row>
    <row r="463" spans="1:23" ht="43.5" thickBot="1" x14ac:dyDescent="0.3">
      <c r="A463" s="59"/>
      <c r="B463" s="42" t="s">
        <v>740</v>
      </c>
      <c r="C463" s="43">
        <v>45711</v>
      </c>
      <c r="D463" s="44">
        <v>154</v>
      </c>
      <c r="E463" s="41">
        <v>1102500</v>
      </c>
      <c r="F463" s="41"/>
      <c r="G463" s="220">
        <f>E463-F463</f>
        <v>1102500</v>
      </c>
      <c r="H463" s="220">
        <f>G463*18%</f>
        <v>198450</v>
      </c>
      <c r="I463" s="41">
        <f>G463+H463</f>
        <v>1300950</v>
      </c>
      <c r="J463" s="41">
        <f>G463*1%</f>
        <v>11025</v>
      </c>
      <c r="K463" s="41">
        <f>G463*5%</f>
        <v>55125</v>
      </c>
      <c r="L463" s="12"/>
      <c r="M463" s="41"/>
      <c r="N463" s="162">
        <f>H463</f>
        <v>198450</v>
      </c>
      <c r="O463" s="41">
        <v>183750</v>
      </c>
      <c r="P463" s="41">
        <f>I463-SUM(J463:O463)</f>
        <v>852600</v>
      </c>
      <c r="Q463" s="170"/>
      <c r="R463" s="37">
        <f>3675000*85%</f>
        <v>3123750</v>
      </c>
      <c r="S463" s="183">
        <f>R463-SUM(T463:T465)</f>
        <v>373750</v>
      </c>
      <c r="T463" s="252">
        <v>750000</v>
      </c>
      <c r="U463" s="253">
        <v>750000</v>
      </c>
      <c r="V463" s="254" t="s">
        <v>751</v>
      </c>
      <c r="W463" s="192"/>
    </row>
    <row r="464" spans="1:23" ht="15.75" thickBot="1" x14ac:dyDescent="0.2">
      <c r="A464" s="59"/>
      <c r="B464" s="31" t="s">
        <v>114</v>
      </c>
      <c r="C464" s="22"/>
      <c r="D464" s="32"/>
      <c r="E464" s="12"/>
      <c r="F464" s="12"/>
      <c r="G464" s="12"/>
      <c r="H464" s="41"/>
      <c r="I464" s="12"/>
      <c r="J464" s="12"/>
      <c r="K464" s="12"/>
      <c r="L464" s="12"/>
      <c r="M464" s="12">
        <f>G464*10%</f>
        <v>0</v>
      </c>
      <c r="N464" s="12"/>
      <c r="O464" s="12"/>
      <c r="P464" s="12">
        <f>E464</f>
        <v>0</v>
      </c>
      <c r="Q464" s="170"/>
      <c r="R464" s="37"/>
      <c r="S464" s="102"/>
      <c r="T464" s="248">
        <v>1000000</v>
      </c>
      <c r="U464" s="247">
        <v>990000</v>
      </c>
      <c r="V464" s="221" t="s">
        <v>888</v>
      </c>
      <c r="W464" s="192"/>
    </row>
    <row r="465" spans="1:23" x14ac:dyDescent="0.25">
      <c r="A465" s="59"/>
      <c r="B465" s="31"/>
      <c r="C465" s="22"/>
      <c r="D465" s="32"/>
      <c r="E465" s="12"/>
      <c r="F465" s="12"/>
      <c r="G465" s="12"/>
      <c r="H465" s="41"/>
      <c r="I465" s="12"/>
      <c r="J465" s="12"/>
      <c r="K465" s="12"/>
      <c r="L465" s="12"/>
      <c r="M465" s="12"/>
      <c r="N465" s="12"/>
      <c r="O465" s="12"/>
      <c r="P465" s="12"/>
      <c r="Q465" s="170"/>
      <c r="R465" s="37"/>
      <c r="S465" s="102"/>
      <c r="T465" s="248">
        <v>1000000</v>
      </c>
      <c r="U465" s="247">
        <v>990000</v>
      </c>
      <c r="V465" s="258" t="s">
        <v>763</v>
      </c>
      <c r="W465" s="194">
        <v>-2174400</v>
      </c>
    </row>
    <row r="466" spans="1:23" ht="15.75" thickBot="1" x14ac:dyDescent="0.2">
      <c r="A466" s="59"/>
      <c r="B466" s="31"/>
      <c r="C466" s="22"/>
      <c r="D466" s="32"/>
      <c r="E466" s="12"/>
      <c r="F466" s="12"/>
      <c r="G466" s="12"/>
      <c r="H466" s="41"/>
      <c r="I466" s="12"/>
      <c r="J466" s="12"/>
      <c r="K466" s="12"/>
      <c r="L466" s="12"/>
      <c r="M466" s="12"/>
      <c r="N466" s="12"/>
      <c r="O466" s="12"/>
      <c r="P466" s="12"/>
      <c r="Q466" s="170"/>
      <c r="R466" s="37"/>
      <c r="S466" s="102"/>
      <c r="T466" s="319">
        <v>300000</v>
      </c>
      <c r="U466" s="320">
        <v>297000</v>
      </c>
      <c r="V466" s="221" t="s">
        <v>775</v>
      </c>
      <c r="W466" s="195"/>
    </row>
    <row r="467" spans="1:23" ht="15.75" thickBot="1" x14ac:dyDescent="0.3">
      <c r="A467" s="309">
        <v>68567</v>
      </c>
      <c r="B467" s="310"/>
      <c r="C467" s="311"/>
      <c r="D467" s="312"/>
      <c r="E467" s="313"/>
      <c r="F467" s="313"/>
      <c r="G467" s="313"/>
      <c r="H467" s="313"/>
      <c r="I467" s="313"/>
      <c r="J467" s="313"/>
      <c r="K467" s="313"/>
      <c r="L467" s="313"/>
      <c r="M467" s="313"/>
      <c r="N467" s="313"/>
      <c r="O467" s="313"/>
      <c r="P467" s="313"/>
      <c r="Q467" s="314">
        <f>A467</f>
        <v>68567</v>
      </c>
      <c r="R467" s="315"/>
      <c r="S467" s="315"/>
      <c r="T467" s="316"/>
      <c r="U467" s="317"/>
      <c r="V467" s="318"/>
      <c r="W467" s="318"/>
    </row>
    <row r="468" spans="1:23" ht="57.75" thickBot="1" x14ac:dyDescent="0.3">
      <c r="A468" s="201"/>
      <c r="B468" s="202" t="s">
        <v>745</v>
      </c>
      <c r="C468" s="203">
        <v>45710</v>
      </c>
      <c r="D468" s="204">
        <v>140</v>
      </c>
      <c r="E468" s="205">
        <v>912000</v>
      </c>
      <c r="F468" s="205"/>
      <c r="G468" s="243">
        <f>E468-F468</f>
        <v>912000</v>
      </c>
      <c r="H468" s="243">
        <f>G468*18%</f>
        <v>164160</v>
      </c>
      <c r="I468" s="205">
        <f>G468+H468</f>
        <v>1076160</v>
      </c>
      <c r="J468" s="205">
        <f>G468*1%</f>
        <v>9120</v>
      </c>
      <c r="K468" s="205">
        <f>G468*5%</f>
        <v>45600</v>
      </c>
      <c r="L468" s="206"/>
      <c r="M468" s="205"/>
      <c r="N468" s="207">
        <f>H468</f>
        <v>164160</v>
      </c>
      <c r="O468" s="214">
        <v>0</v>
      </c>
      <c r="P468" s="216">
        <f>I468-SUM(J468:O468)</f>
        <v>857280</v>
      </c>
      <c r="Q468" s="215"/>
      <c r="R468" s="192">
        <f>3040000*55%</f>
        <v>1672000.0000000002</v>
      </c>
      <c r="S468" s="216">
        <f>R468-SUM(T468:T469)</f>
        <v>222000.00000000023</v>
      </c>
      <c r="T468" s="249">
        <v>750000</v>
      </c>
      <c r="U468" s="250">
        <v>750000</v>
      </c>
      <c r="V468" s="321" t="s">
        <v>750</v>
      </c>
      <c r="W468" s="195"/>
    </row>
    <row r="469" spans="1:23" ht="15.75" thickBot="1" x14ac:dyDescent="0.3">
      <c r="A469" s="208"/>
      <c r="B469" s="198" t="s">
        <v>114</v>
      </c>
      <c r="C469" s="199"/>
      <c r="D469" s="200"/>
      <c r="E469" s="193"/>
      <c r="F469" s="193"/>
      <c r="G469" s="193"/>
      <c r="H469" s="197"/>
      <c r="I469" s="193"/>
      <c r="J469" s="193"/>
      <c r="K469" s="193"/>
      <c r="L469" s="193"/>
      <c r="M469" s="193">
        <f>G469*10%</f>
        <v>0</v>
      </c>
      <c r="N469" s="193"/>
      <c r="O469" s="217"/>
      <c r="P469" s="213">
        <f>E469</f>
        <v>0</v>
      </c>
      <c r="Q469" s="218"/>
      <c r="R469" s="192"/>
      <c r="S469" s="192"/>
      <c r="T469" s="249">
        <v>700000</v>
      </c>
      <c r="U469" s="250">
        <v>693000</v>
      </c>
      <c r="V469" s="251" t="s">
        <v>757</v>
      </c>
      <c r="W469" s="184">
        <v>-1485720</v>
      </c>
    </row>
    <row r="470" spans="1:23" ht="15.75" thickBot="1" x14ac:dyDescent="0.2">
      <c r="A470" s="209"/>
      <c r="B470" s="196"/>
      <c r="C470" s="196"/>
      <c r="D470" s="196"/>
      <c r="E470" s="210"/>
      <c r="F470" s="210"/>
      <c r="G470" s="210"/>
      <c r="H470" s="210"/>
      <c r="I470" s="210"/>
      <c r="J470" s="210"/>
      <c r="K470" s="210"/>
      <c r="L470" s="210"/>
      <c r="M470" s="210"/>
      <c r="N470" s="210"/>
      <c r="O470" s="212"/>
      <c r="P470" s="192"/>
      <c r="Q470" s="219"/>
      <c r="R470" s="192"/>
      <c r="S470" s="192"/>
      <c r="T470" s="249">
        <v>900000</v>
      </c>
      <c r="U470" s="250">
        <v>891000</v>
      </c>
      <c r="V470" s="322" t="s">
        <v>776</v>
      </c>
      <c r="W470" s="211"/>
    </row>
    <row r="471" spans="1:23" x14ac:dyDescent="0.25">
      <c r="A471" s="301">
        <v>68568</v>
      </c>
      <c r="B471" s="293"/>
      <c r="C471" s="302"/>
      <c r="D471" s="303"/>
      <c r="E471" s="304"/>
      <c r="F471" s="304"/>
      <c r="G471" s="304"/>
      <c r="H471" s="304"/>
      <c r="I471" s="304"/>
      <c r="J471" s="304"/>
      <c r="K471" s="304"/>
      <c r="L471" s="304"/>
      <c r="M471" s="304"/>
      <c r="N471" s="304"/>
      <c r="O471" s="304"/>
      <c r="P471" s="304"/>
      <c r="Q471" s="305">
        <f>A471</f>
        <v>68568</v>
      </c>
      <c r="R471" s="306"/>
      <c r="S471" s="306"/>
      <c r="T471" s="306"/>
      <c r="U471" s="307"/>
      <c r="V471" s="308"/>
      <c r="W471" s="308"/>
    </row>
    <row r="472" spans="1:23" ht="42.75" x14ac:dyDescent="0.25">
      <c r="A472" s="59"/>
      <c r="B472" s="42" t="s">
        <v>744</v>
      </c>
      <c r="C472" s="43">
        <v>45710</v>
      </c>
      <c r="D472" s="44">
        <v>138</v>
      </c>
      <c r="E472" s="41">
        <v>937500</v>
      </c>
      <c r="F472" s="41"/>
      <c r="G472" s="220">
        <f>E472-F472</f>
        <v>937500</v>
      </c>
      <c r="H472" s="220">
        <f>G472*18%</f>
        <v>168750</v>
      </c>
      <c r="I472" s="41">
        <f>G472+H472</f>
        <v>1106250</v>
      </c>
      <c r="J472" s="41">
        <f>G472*1%</f>
        <v>9375</v>
      </c>
      <c r="K472" s="41">
        <f>G472*5%</f>
        <v>46875</v>
      </c>
      <c r="L472" s="12"/>
      <c r="M472" s="41"/>
      <c r="N472" s="162">
        <f>H472</f>
        <v>168750</v>
      </c>
      <c r="O472" s="41">
        <v>0</v>
      </c>
      <c r="P472" s="41">
        <f>I472-SUM(J472:O472)</f>
        <v>881250</v>
      </c>
      <c r="Q472" s="170"/>
      <c r="S472" s="12">
        <f>R480-SUM(T472:T474)</f>
        <v>109375</v>
      </c>
      <c r="T472" s="40">
        <v>500000</v>
      </c>
      <c r="U472" s="113">
        <v>500000</v>
      </c>
      <c r="V472" s="28" t="s">
        <v>749</v>
      </c>
      <c r="W472" s="211"/>
    </row>
    <row r="473" spans="1:23" x14ac:dyDescent="0.25">
      <c r="A473" s="59"/>
      <c r="B473" s="31" t="s">
        <v>114</v>
      </c>
      <c r="C473" s="22"/>
      <c r="D473" s="32"/>
      <c r="E473" s="12"/>
      <c r="F473" s="12"/>
      <c r="G473" s="12"/>
      <c r="H473" s="41"/>
      <c r="I473" s="12"/>
      <c r="J473" s="12"/>
      <c r="K473" s="12"/>
      <c r="L473" s="12"/>
      <c r="M473" s="12">
        <f>G473*10%</f>
        <v>0</v>
      </c>
      <c r="N473" s="12"/>
      <c r="O473" s="12"/>
      <c r="P473" s="12">
        <f>E473</f>
        <v>0</v>
      </c>
      <c r="Q473" s="170"/>
      <c r="R473" s="37"/>
      <c r="S473" s="37"/>
      <c r="T473" s="40">
        <v>500000</v>
      </c>
      <c r="U473" s="113">
        <v>495000</v>
      </c>
      <c r="V473" s="28" t="s">
        <v>759</v>
      </c>
      <c r="W473" s="12">
        <f>SUM(P472:P473)-SUM(U472:U474)</f>
        <v>-1103750</v>
      </c>
    </row>
    <row r="474" spans="1:23" x14ac:dyDescent="0.25">
      <c r="A474" s="59"/>
      <c r="B474" s="31"/>
      <c r="C474" s="22"/>
      <c r="D474" s="32"/>
      <c r="E474" s="12"/>
      <c r="F474" s="12"/>
      <c r="G474" s="12"/>
      <c r="H474" s="41"/>
      <c r="I474" s="12"/>
      <c r="J474" s="12"/>
      <c r="K474" s="12"/>
      <c r="L474" s="12"/>
      <c r="M474" s="12"/>
      <c r="N474" s="12"/>
      <c r="O474" s="12"/>
      <c r="P474" s="12"/>
      <c r="Q474" s="170"/>
      <c r="R474" s="37"/>
      <c r="S474" s="37"/>
      <c r="T474" s="40">
        <v>1000000</v>
      </c>
      <c r="U474" s="113">
        <v>990000</v>
      </c>
      <c r="V474" s="28" t="s">
        <v>762</v>
      </c>
      <c r="W474" s="37"/>
    </row>
    <row r="475" spans="1:23" x14ac:dyDescent="0.25">
      <c r="A475" s="295">
        <v>68569</v>
      </c>
      <c r="B475" s="296"/>
      <c r="C475" s="297"/>
      <c r="D475" s="298"/>
      <c r="E475" s="299"/>
      <c r="F475" s="299"/>
      <c r="G475" s="299"/>
      <c r="H475" s="299"/>
      <c r="I475" s="299"/>
      <c r="J475" s="299"/>
      <c r="K475" s="299"/>
      <c r="L475" s="299"/>
      <c r="M475" s="299"/>
      <c r="N475" s="299"/>
      <c r="O475" s="299"/>
      <c r="P475" s="299"/>
      <c r="Q475" s="300">
        <f>A475</f>
        <v>68569</v>
      </c>
      <c r="R475" s="259"/>
      <c r="S475" s="259"/>
      <c r="T475" s="259"/>
      <c r="U475" s="260"/>
      <c r="V475" s="261"/>
      <c r="W475" s="259"/>
    </row>
    <row r="476" spans="1:23" ht="42.75" x14ac:dyDescent="0.25">
      <c r="A476" s="59"/>
      <c r="B476" s="42" t="s">
        <v>743</v>
      </c>
      <c r="C476" s="43">
        <v>45711</v>
      </c>
      <c r="D476" s="44">
        <v>148</v>
      </c>
      <c r="E476" s="41">
        <v>999000</v>
      </c>
      <c r="F476" s="41"/>
      <c r="G476" s="220">
        <f>E476-F476</f>
        <v>999000</v>
      </c>
      <c r="H476" s="220">
        <f>G476*18%</f>
        <v>179820</v>
      </c>
      <c r="I476" s="41">
        <f>G476+H476</f>
        <v>1178820</v>
      </c>
      <c r="J476" s="41">
        <f>G476*1%</f>
        <v>9990</v>
      </c>
      <c r="K476" s="41">
        <f>G476*5%</f>
        <v>49950</v>
      </c>
      <c r="L476" s="12"/>
      <c r="M476" s="41"/>
      <c r="N476" s="162">
        <f>H476</f>
        <v>179820</v>
      </c>
      <c r="O476" s="41">
        <v>0</v>
      </c>
      <c r="P476" s="41">
        <f>I476-SUM(J476:O476)</f>
        <v>939060</v>
      </c>
      <c r="Q476" s="170"/>
      <c r="R476" s="37">
        <f>3300000*55%</f>
        <v>1815000.0000000002</v>
      </c>
      <c r="S476" s="12">
        <f>R476-SUM(T476:T478)</f>
        <v>15000.000000000233</v>
      </c>
      <c r="T476" s="40">
        <v>800000</v>
      </c>
      <c r="U476" s="113">
        <v>800000</v>
      </c>
      <c r="V476" s="28" t="s">
        <v>755</v>
      </c>
      <c r="W476" s="37"/>
    </row>
    <row r="477" spans="1:23" x14ac:dyDescent="0.25">
      <c r="A477" s="59"/>
      <c r="B477" s="31" t="s">
        <v>114</v>
      </c>
      <c r="C477" s="22"/>
      <c r="D477" s="32"/>
      <c r="E477" s="12"/>
      <c r="F477" s="12"/>
      <c r="G477" s="12"/>
      <c r="H477" s="41"/>
      <c r="I477" s="12"/>
      <c r="J477" s="12"/>
      <c r="K477" s="12"/>
      <c r="L477" s="12"/>
      <c r="M477" s="12">
        <f>G477*10%</f>
        <v>0</v>
      </c>
      <c r="N477" s="12"/>
      <c r="O477" s="12"/>
      <c r="P477" s="12">
        <f>E477</f>
        <v>0</v>
      </c>
      <c r="Q477" s="170"/>
      <c r="R477" s="37"/>
      <c r="S477" s="37"/>
      <c r="T477" s="40">
        <v>500000</v>
      </c>
      <c r="U477" s="113">
        <v>495000</v>
      </c>
      <c r="V477" s="28" t="s">
        <v>758</v>
      </c>
      <c r="W477" s="12">
        <f>SUM(P476:P477)-SUM(U476:U478)</f>
        <v>-850940</v>
      </c>
    </row>
    <row r="478" spans="1:23" x14ac:dyDescent="0.25">
      <c r="A478" s="59"/>
      <c r="B478" s="31"/>
      <c r="C478" s="22"/>
      <c r="D478" s="32"/>
      <c r="E478" s="12"/>
      <c r="F478" s="12"/>
      <c r="G478" s="12"/>
      <c r="H478" s="41"/>
      <c r="I478" s="12"/>
      <c r="J478" s="12"/>
      <c r="K478" s="12"/>
      <c r="L478" s="12"/>
      <c r="M478" s="12"/>
      <c r="N478" s="12"/>
      <c r="O478" s="12"/>
      <c r="P478" s="12"/>
      <c r="Q478" s="170"/>
      <c r="R478" s="37"/>
      <c r="S478" s="37"/>
      <c r="T478" s="40">
        <v>500000</v>
      </c>
      <c r="U478" s="113">
        <v>495000</v>
      </c>
      <c r="V478" s="28" t="s">
        <v>767</v>
      </c>
      <c r="W478" s="37"/>
    </row>
    <row r="479" spans="1:23" x14ac:dyDescent="0.25">
      <c r="A479" s="295">
        <v>68570</v>
      </c>
      <c r="B479" s="296"/>
      <c r="C479" s="297"/>
      <c r="D479" s="298"/>
      <c r="E479" s="299"/>
      <c r="F479" s="299"/>
      <c r="G479" s="299"/>
      <c r="H479" s="299"/>
      <c r="I479" s="299"/>
      <c r="J479" s="299"/>
      <c r="K479" s="299"/>
      <c r="L479" s="299"/>
      <c r="M479" s="299"/>
      <c r="N479" s="299"/>
      <c r="O479" s="299"/>
      <c r="P479" s="299"/>
      <c r="Q479" s="300">
        <f>A479</f>
        <v>68570</v>
      </c>
      <c r="R479" s="259"/>
      <c r="S479" s="259"/>
      <c r="T479" s="259"/>
      <c r="U479" s="260"/>
      <c r="V479" s="261"/>
      <c r="W479" s="259"/>
    </row>
    <row r="480" spans="1:23" ht="42.75" x14ac:dyDescent="0.25">
      <c r="A480" s="59"/>
      <c r="B480" s="42" t="s">
        <v>742</v>
      </c>
      <c r="C480" s="43">
        <v>45710</v>
      </c>
      <c r="D480" s="44">
        <v>141</v>
      </c>
      <c r="E480" s="41">
        <v>742500</v>
      </c>
      <c r="F480" s="41"/>
      <c r="G480" s="220">
        <f>E480-F480</f>
        <v>742500</v>
      </c>
      <c r="H480" s="220">
        <f>G480*18%</f>
        <v>133650</v>
      </c>
      <c r="I480" s="41">
        <f>G480+H480</f>
        <v>876150</v>
      </c>
      <c r="J480" s="41">
        <f>G480*1%</f>
        <v>7425</v>
      </c>
      <c r="K480" s="41">
        <f>G480*5%</f>
        <v>37125</v>
      </c>
      <c r="L480" s="12"/>
      <c r="M480" s="41"/>
      <c r="N480" s="162">
        <f>H480</f>
        <v>133650</v>
      </c>
      <c r="O480" s="41">
        <v>0</v>
      </c>
      <c r="P480" s="41">
        <f>I480-SUM(J480:O480)</f>
        <v>697950</v>
      </c>
      <c r="Q480" s="170"/>
      <c r="R480" s="37">
        <f>4687500*45%</f>
        <v>2109375</v>
      </c>
      <c r="S480" s="12">
        <f>R480-SUM(T480:T482)</f>
        <v>411425</v>
      </c>
      <c r="T480" s="40">
        <v>500000</v>
      </c>
      <c r="U480" s="113">
        <v>500000</v>
      </c>
      <c r="V480" s="28" t="s">
        <v>746</v>
      </c>
      <c r="W480" s="37"/>
    </row>
    <row r="481" spans="1:25" x14ac:dyDescent="0.25">
      <c r="A481" s="59"/>
      <c r="B481" s="31" t="s">
        <v>114</v>
      </c>
      <c r="C481" s="22"/>
      <c r="D481" s="32"/>
      <c r="E481" s="12"/>
      <c r="F481" s="12"/>
      <c r="G481" s="12"/>
      <c r="H481" s="41"/>
      <c r="I481" s="12"/>
      <c r="J481" s="12"/>
      <c r="K481" s="12"/>
      <c r="L481" s="12"/>
      <c r="M481" s="12">
        <f>G481*10%</f>
        <v>0</v>
      </c>
      <c r="N481" s="12"/>
      <c r="O481" s="12"/>
      <c r="P481" s="12">
        <f>E481</f>
        <v>0</v>
      </c>
      <c r="Q481" s="170"/>
      <c r="R481" s="37"/>
      <c r="S481" s="37"/>
      <c r="T481" s="40">
        <v>197950</v>
      </c>
      <c r="U481" s="113">
        <v>197950</v>
      </c>
      <c r="V481" s="28" t="s">
        <v>753</v>
      </c>
      <c r="W481" s="12">
        <v>-1287000</v>
      </c>
    </row>
    <row r="482" spans="1:25" x14ac:dyDescent="0.25">
      <c r="A482" s="59"/>
      <c r="B482" s="31"/>
      <c r="C482" s="22"/>
      <c r="D482" s="32"/>
      <c r="E482" s="12"/>
      <c r="F482" s="12"/>
      <c r="G482" s="12"/>
      <c r="H482" s="41"/>
      <c r="I482" s="12"/>
      <c r="J482" s="12"/>
      <c r="K482" s="12"/>
      <c r="L482" s="12"/>
      <c r="M482" s="12"/>
      <c r="N482" s="12"/>
      <c r="O482" s="12"/>
      <c r="P482" s="12"/>
      <c r="Q482" s="170"/>
      <c r="R482" s="37"/>
      <c r="S482" s="37"/>
      <c r="T482" s="40">
        <v>1000000</v>
      </c>
      <c r="U482" s="113">
        <v>990000</v>
      </c>
      <c r="V482" s="28" t="s">
        <v>766</v>
      </c>
      <c r="W482" s="37"/>
    </row>
    <row r="483" spans="1:25" x14ac:dyDescent="0.15">
      <c r="A483" s="59"/>
      <c r="B483" s="31"/>
      <c r="C483" s="22"/>
      <c r="D483" s="32"/>
      <c r="E483" s="12"/>
      <c r="F483" s="12"/>
      <c r="G483" s="12"/>
      <c r="H483" s="41"/>
      <c r="I483" s="12"/>
      <c r="J483" s="12"/>
      <c r="K483" s="12"/>
      <c r="L483" s="12"/>
      <c r="M483" s="12"/>
      <c r="N483" s="12"/>
      <c r="O483" s="12"/>
      <c r="P483" s="12"/>
      <c r="Q483" s="170"/>
      <c r="R483" s="37"/>
      <c r="S483" s="37"/>
      <c r="T483" s="37">
        <v>300000</v>
      </c>
      <c r="U483" s="181">
        <v>297000</v>
      </c>
      <c r="V483" s="99" t="s">
        <v>777</v>
      </c>
      <c r="W483" s="37"/>
    </row>
    <row r="484" spans="1:25" ht="15.75" thickBot="1" x14ac:dyDescent="0.3">
      <c r="A484" s="295">
        <v>68571</v>
      </c>
      <c r="B484" s="296"/>
      <c r="C484" s="297"/>
      <c r="D484" s="298"/>
      <c r="E484" s="299"/>
      <c r="F484" s="299"/>
      <c r="G484" s="299"/>
      <c r="H484" s="299"/>
      <c r="I484" s="299"/>
      <c r="J484" s="299"/>
      <c r="K484" s="299"/>
      <c r="L484" s="299"/>
      <c r="M484" s="299"/>
      <c r="N484" s="313"/>
      <c r="O484" s="313"/>
      <c r="P484" s="299"/>
      <c r="Q484" s="314">
        <f>A484</f>
        <v>68571</v>
      </c>
      <c r="R484" s="259"/>
      <c r="S484" s="315"/>
      <c r="T484" s="259"/>
      <c r="U484" s="325"/>
      <c r="V484" s="261"/>
      <c r="W484" s="259"/>
    </row>
    <row r="485" spans="1:25" ht="42.75" x14ac:dyDescent="0.25">
      <c r="A485" s="59"/>
      <c r="B485" s="42" t="s">
        <v>734</v>
      </c>
      <c r="C485" s="43">
        <v>45711</v>
      </c>
      <c r="D485" s="44">
        <v>149</v>
      </c>
      <c r="E485" s="41">
        <v>1014750</v>
      </c>
      <c r="F485" s="41"/>
      <c r="G485" s="220">
        <f>E485-F485</f>
        <v>1014750</v>
      </c>
      <c r="H485" s="220">
        <f>G485*18%</f>
        <v>182655</v>
      </c>
      <c r="I485" s="41">
        <f>G485+H485</f>
        <v>1197405</v>
      </c>
      <c r="J485" s="41">
        <f>G485*1%</f>
        <v>10147.5</v>
      </c>
      <c r="K485" s="41">
        <f>G485*5%</f>
        <v>50737.5</v>
      </c>
      <c r="L485" s="12"/>
      <c r="M485" s="41"/>
      <c r="N485" s="352">
        <f>H485</f>
        <v>182655</v>
      </c>
      <c r="O485" s="341">
        <v>227176</v>
      </c>
      <c r="P485" s="347">
        <f>I485-SUM(J485:O485)</f>
        <v>726689</v>
      </c>
      <c r="Q485" s="355"/>
      <c r="R485" s="356">
        <f>2475000*55%</f>
        <v>1361250</v>
      </c>
      <c r="S485" s="84">
        <f>R485-SUM(T485:T487)</f>
        <v>161250</v>
      </c>
      <c r="T485" s="361">
        <v>500000</v>
      </c>
      <c r="U485" s="364">
        <v>500000</v>
      </c>
      <c r="V485" s="366" t="s">
        <v>747</v>
      </c>
      <c r="W485" s="37"/>
    </row>
    <row r="486" spans="1:25" x14ac:dyDescent="0.25">
      <c r="A486" s="59"/>
      <c r="B486" s="31" t="s">
        <v>114</v>
      </c>
      <c r="C486" s="22"/>
      <c r="D486" s="32"/>
      <c r="E486" s="12"/>
      <c r="F486" s="12"/>
      <c r="G486" s="12"/>
      <c r="H486" s="41"/>
      <c r="I486" s="12"/>
      <c r="J486" s="12"/>
      <c r="K486" s="12"/>
      <c r="L486" s="12"/>
      <c r="M486" s="12">
        <f>G486*10%</f>
        <v>0</v>
      </c>
      <c r="N486" s="12"/>
      <c r="O486" s="12"/>
      <c r="P486" s="351">
        <f>E486</f>
        <v>0</v>
      </c>
      <c r="Q486" s="170"/>
      <c r="R486" s="356"/>
      <c r="S486" s="37"/>
      <c r="T486" s="361">
        <v>200000</v>
      </c>
      <c r="U486" s="113">
        <v>200000</v>
      </c>
      <c r="V486" s="366" t="s">
        <v>752</v>
      </c>
      <c r="W486" s="12">
        <f>SUM(P485:P486)-SUM(U485:U487)</f>
        <v>-468311</v>
      </c>
    </row>
    <row r="487" spans="1:25" ht="15.75" thickBot="1" x14ac:dyDescent="0.3">
      <c r="A487" s="59"/>
      <c r="B487" s="31"/>
      <c r="C487" s="22"/>
      <c r="D487" s="32"/>
      <c r="E487" s="12"/>
      <c r="F487" s="284"/>
      <c r="G487" s="284"/>
      <c r="H487" s="285"/>
      <c r="I487" s="284"/>
      <c r="J487" s="12"/>
      <c r="K487" s="284"/>
      <c r="L487" s="12"/>
      <c r="M487" s="12"/>
      <c r="N487" s="12"/>
      <c r="O487" s="12"/>
      <c r="P487" s="351"/>
      <c r="Q487" s="170"/>
      <c r="R487" s="356"/>
      <c r="S487" s="37"/>
      <c r="T487" s="361">
        <v>500000</v>
      </c>
      <c r="U487" s="113">
        <v>495000</v>
      </c>
      <c r="V487" s="366" t="s">
        <v>765</v>
      </c>
      <c r="W487" s="37"/>
    </row>
    <row r="488" spans="1:25" ht="15.75" thickBot="1" x14ac:dyDescent="0.3">
      <c r="A488" s="295">
        <v>68572</v>
      </c>
      <c r="B488" s="296"/>
      <c r="C488" s="297"/>
      <c r="D488" s="312"/>
      <c r="E488" s="313"/>
      <c r="F488" s="343"/>
      <c r="G488" s="343"/>
      <c r="H488" s="343"/>
      <c r="I488" s="343"/>
      <c r="J488" s="346"/>
      <c r="K488" s="343"/>
      <c r="L488" s="342"/>
      <c r="M488" s="313"/>
      <c r="N488" s="299"/>
      <c r="O488" s="299"/>
      <c r="P488" s="346"/>
      <c r="Q488" s="300">
        <f>A488</f>
        <v>68572</v>
      </c>
      <c r="R488" s="357"/>
      <c r="S488" s="259"/>
      <c r="T488" s="357"/>
      <c r="U488" s="260"/>
      <c r="V488" s="367"/>
      <c r="W488" s="259"/>
    </row>
    <row r="489" spans="1:25" ht="42.75" x14ac:dyDescent="0.25">
      <c r="A489" s="59"/>
      <c r="B489" s="42" t="s">
        <v>741</v>
      </c>
      <c r="C489" s="338">
        <v>45712</v>
      </c>
      <c r="D489" s="340">
        <v>161</v>
      </c>
      <c r="E489" s="341">
        <v>899100</v>
      </c>
      <c r="F489" s="41"/>
      <c r="G489" s="220">
        <f>E489-F489</f>
        <v>899100</v>
      </c>
      <c r="H489" s="220">
        <f>G489*18%</f>
        <v>161838</v>
      </c>
      <c r="I489" s="41">
        <f>G489+H489</f>
        <v>1060938</v>
      </c>
      <c r="J489" s="347">
        <f>G489*1%</f>
        <v>8991</v>
      </c>
      <c r="K489" s="41">
        <f>G489*5%</f>
        <v>44955</v>
      </c>
      <c r="L489" s="351"/>
      <c r="M489" s="341"/>
      <c r="N489" s="162">
        <f>H489</f>
        <v>161838</v>
      </c>
      <c r="O489" s="41">
        <v>0</v>
      </c>
      <c r="P489" s="347">
        <f>I489-SUM(J489:O489)</f>
        <v>845154</v>
      </c>
      <c r="Q489" s="170"/>
      <c r="R489" s="356">
        <f>2700000*58.3%</f>
        <v>1574100</v>
      </c>
      <c r="S489" s="12">
        <f>R489-SUM(T489:T491)</f>
        <v>274100</v>
      </c>
      <c r="T489" s="361">
        <v>500000</v>
      </c>
      <c r="U489" s="113">
        <v>500000</v>
      </c>
      <c r="V489" s="366" t="s">
        <v>748</v>
      </c>
      <c r="W489" s="37"/>
    </row>
    <row r="490" spans="1:25" x14ac:dyDescent="0.25">
      <c r="A490" s="59"/>
      <c r="B490" s="31" t="s">
        <v>114</v>
      </c>
      <c r="C490" s="339"/>
      <c r="D490" s="283"/>
      <c r="E490" s="284"/>
      <c r="F490" s="284"/>
      <c r="G490" s="284"/>
      <c r="H490" s="285"/>
      <c r="I490" s="284"/>
      <c r="J490" s="348"/>
      <c r="K490" s="284"/>
      <c r="L490" s="348"/>
      <c r="M490" s="284">
        <f>G490*10%</f>
        <v>0</v>
      </c>
      <c r="N490" s="284"/>
      <c r="O490" s="284"/>
      <c r="P490" s="348">
        <f>E490</f>
        <v>0</v>
      </c>
      <c r="Q490" s="286"/>
      <c r="R490" s="358"/>
      <c r="S490" s="287"/>
      <c r="T490" s="362">
        <v>300000</v>
      </c>
      <c r="U490" s="191">
        <v>300000</v>
      </c>
      <c r="V490" s="368" t="s">
        <v>756</v>
      </c>
      <c r="W490" s="12">
        <f>SUM(P489:P491)-SUM(U489:U491)</f>
        <v>-449846</v>
      </c>
    </row>
    <row r="491" spans="1:25" x14ac:dyDescent="0.25">
      <c r="A491" s="164"/>
      <c r="B491" s="165"/>
      <c r="C491" s="282"/>
      <c r="D491" s="44"/>
      <c r="E491" s="41"/>
      <c r="F491" s="41"/>
      <c r="G491" s="41"/>
      <c r="H491" s="41"/>
      <c r="I491" s="41"/>
      <c r="J491" s="347"/>
      <c r="K491" s="41"/>
      <c r="L491" s="351"/>
      <c r="M491" s="41"/>
      <c r="N491" s="41"/>
      <c r="O491" s="41"/>
      <c r="P491" s="347"/>
      <c r="Q491" s="170"/>
      <c r="R491" s="359"/>
      <c r="S491" s="27"/>
      <c r="T491" s="361">
        <v>500000</v>
      </c>
      <c r="U491" s="40">
        <v>495000</v>
      </c>
      <c r="V491" s="366" t="s">
        <v>761</v>
      </c>
      <c r="W491" s="287"/>
      <c r="X491" s="371"/>
      <c r="Y491" s="262"/>
    </row>
    <row r="492" spans="1:25" x14ac:dyDescent="0.15">
      <c r="A492" s="164"/>
      <c r="B492" s="165"/>
      <c r="C492" s="282"/>
      <c r="D492" s="44"/>
      <c r="E492" s="41"/>
      <c r="F492" s="41"/>
      <c r="G492" s="41"/>
      <c r="H492" s="41"/>
      <c r="I492" s="41"/>
      <c r="J492" s="347"/>
      <c r="K492" s="41"/>
      <c r="L492" s="351"/>
      <c r="M492" s="41"/>
      <c r="N492" s="41"/>
      <c r="O492" s="41"/>
      <c r="P492" s="347"/>
      <c r="Q492" s="170"/>
      <c r="R492" s="359"/>
      <c r="S492" s="27"/>
      <c r="T492" s="361">
        <v>250000</v>
      </c>
      <c r="U492" s="40">
        <v>247500</v>
      </c>
      <c r="V492" s="221" t="s">
        <v>887</v>
      </c>
      <c r="W492" s="37"/>
      <c r="X492" s="371"/>
      <c r="Y492" s="262"/>
    </row>
    <row r="493" spans="1:25" ht="15.75" thickBot="1" x14ac:dyDescent="0.3">
      <c r="A493" s="292">
        <v>69744</v>
      </c>
      <c r="B493" s="293"/>
      <c r="C493" s="294"/>
      <c r="D493" s="298"/>
      <c r="E493" s="299"/>
      <c r="F493" s="299"/>
      <c r="G493" s="299"/>
      <c r="H493" s="299"/>
      <c r="I493" s="299"/>
      <c r="J493" s="346"/>
      <c r="K493" s="299"/>
      <c r="L493" s="346"/>
      <c r="M493" s="299"/>
      <c r="N493" s="299"/>
      <c r="O493" s="299"/>
      <c r="P493" s="346"/>
      <c r="Q493" s="300">
        <v>69744</v>
      </c>
      <c r="R493" s="360"/>
      <c r="S493" s="329"/>
      <c r="T493" s="378"/>
      <c r="U493" s="315"/>
      <c r="V493" s="377"/>
      <c r="W493" s="259"/>
      <c r="X493" s="371"/>
      <c r="Y493" s="262"/>
    </row>
    <row r="494" spans="1:25" ht="42.75" x14ac:dyDescent="0.15">
      <c r="A494" s="164"/>
      <c r="B494" s="42" t="s">
        <v>930</v>
      </c>
      <c r="C494" s="282"/>
      <c r="D494" s="44"/>
      <c r="E494" s="41"/>
      <c r="F494" s="41"/>
      <c r="G494" s="220">
        <f>E494-F494</f>
        <v>0</v>
      </c>
      <c r="H494" s="220">
        <f>G494*18%</f>
        <v>0</v>
      </c>
      <c r="I494" s="41">
        <f>G494+H494</f>
        <v>0</v>
      </c>
      <c r="J494" s="41">
        <f>G494*1%</f>
        <v>0</v>
      </c>
      <c r="K494" s="41">
        <f>G494*5%</f>
        <v>0</v>
      </c>
      <c r="L494" s="12"/>
      <c r="M494" s="41"/>
      <c r="N494" s="162">
        <f>H494</f>
        <v>0</v>
      </c>
      <c r="O494" s="41">
        <v>0</v>
      </c>
      <c r="P494" s="41">
        <f>I494-SUM(J494:O494)</f>
        <v>0</v>
      </c>
      <c r="Q494" s="170"/>
      <c r="R494" s="359"/>
      <c r="S494" s="27"/>
      <c r="T494" s="380">
        <v>1000000</v>
      </c>
      <c r="U494" s="380">
        <v>990000</v>
      </c>
      <c r="V494" s="381" t="s">
        <v>890</v>
      </c>
      <c r="W494" s="376">
        <v>-2475000</v>
      </c>
      <c r="X494" s="371"/>
      <c r="Y494" s="262"/>
    </row>
    <row r="495" spans="1:25" x14ac:dyDescent="0.25">
      <c r="A495" s="164"/>
      <c r="B495" s="165"/>
      <c r="C495" s="282"/>
      <c r="D495" s="44"/>
      <c r="E495" s="41"/>
      <c r="F495" s="41"/>
      <c r="G495" s="220">
        <f>E495-F495</f>
        <v>0</v>
      </c>
      <c r="H495" s="220">
        <f>G495*18%</f>
        <v>0</v>
      </c>
      <c r="I495" s="41">
        <f>G495+H495</f>
        <v>0</v>
      </c>
      <c r="J495" s="41">
        <f>G495*1%</f>
        <v>0</v>
      </c>
      <c r="K495" s="41">
        <f>G495*5%</f>
        <v>0</v>
      </c>
      <c r="L495" s="12"/>
      <c r="M495" s="41"/>
      <c r="N495" s="162">
        <f>H495</f>
        <v>0</v>
      </c>
      <c r="O495" s="41">
        <v>0</v>
      </c>
      <c r="P495" s="41">
        <f>I495-SUM(J495:O495)</f>
        <v>0</v>
      </c>
      <c r="Q495" s="170"/>
      <c r="R495" s="359"/>
      <c r="S495" s="27"/>
      <c r="T495" s="244">
        <v>500000</v>
      </c>
      <c r="U495" s="244">
        <v>495000</v>
      </c>
      <c r="V495" s="382" t="s">
        <v>891</v>
      </c>
      <c r="W495" s="190"/>
      <c r="X495" s="371"/>
      <c r="Y495" s="262"/>
    </row>
    <row r="496" spans="1:25" x14ac:dyDescent="0.25">
      <c r="A496" s="164"/>
      <c r="B496" s="165"/>
      <c r="C496" s="282"/>
      <c r="D496" s="44"/>
      <c r="E496" s="41"/>
      <c r="F496" s="41"/>
      <c r="G496" s="220">
        <f>E496-F496</f>
        <v>0</v>
      </c>
      <c r="H496" s="220">
        <f>G496*18%</f>
        <v>0</v>
      </c>
      <c r="I496" s="41">
        <f>G496+H496</f>
        <v>0</v>
      </c>
      <c r="J496" s="41">
        <f>G496*1%</f>
        <v>0</v>
      </c>
      <c r="K496" s="41">
        <f>G496*5%</f>
        <v>0</v>
      </c>
      <c r="L496" s="12"/>
      <c r="M496" s="41"/>
      <c r="N496" s="162">
        <f>H496</f>
        <v>0</v>
      </c>
      <c r="O496" s="41">
        <v>0</v>
      </c>
      <c r="P496" s="41">
        <f>I496-SUM(J496:O496)</f>
        <v>0</v>
      </c>
      <c r="Q496" s="170"/>
      <c r="R496" s="359"/>
      <c r="S496" s="27"/>
      <c r="T496" s="244">
        <v>500000</v>
      </c>
      <c r="U496" s="244">
        <v>495000</v>
      </c>
      <c r="V496" s="28" t="s">
        <v>892</v>
      </c>
      <c r="W496" s="190"/>
      <c r="X496" s="371"/>
      <c r="Y496" s="262"/>
    </row>
    <row r="497" spans="1:25" ht="15.75" thickBot="1" x14ac:dyDescent="0.3">
      <c r="A497" s="164"/>
      <c r="B497" s="165"/>
      <c r="C497" s="282"/>
      <c r="D497" s="44"/>
      <c r="E497" s="41"/>
      <c r="F497" s="41"/>
      <c r="G497" s="220">
        <f>E497-F497</f>
        <v>0</v>
      </c>
      <c r="H497" s="220">
        <f>G497*18%</f>
        <v>0</v>
      </c>
      <c r="I497" s="41">
        <f>G497+H497</f>
        <v>0</v>
      </c>
      <c r="J497" s="41">
        <f>G497*1%</f>
        <v>0</v>
      </c>
      <c r="K497" s="41">
        <f>G497*5%</f>
        <v>0</v>
      </c>
      <c r="L497" s="12"/>
      <c r="M497" s="41"/>
      <c r="N497" s="162">
        <f>H497</f>
        <v>0</v>
      </c>
      <c r="O497" s="41">
        <v>0</v>
      </c>
      <c r="P497" s="41">
        <f>I497-SUM(J497:O497)</f>
        <v>0</v>
      </c>
      <c r="Q497" s="170"/>
      <c r="R497" s="359"/>
      <c r="S497" s="27"/>
      <c r="T497" s="383">
        <v>500000</v>
      </c>
      <c r="U497" s="383">
        <v>495000</v>
      </c>
      <c r="V497" s="384" t="s">
        <v>893</v>
      </c>
      <c r="W497" s="190"/>
      <c r="X497" s="371"/>
      <c r="Y497" s="262"/>
    </row>
    <row r="498" spans="1:25" ht="15.75" thickBot="1" x14ac:dyDescent="0.3">
      <c r="A498" s="292">
        <v>69745</v>
      </c>
      <c r="B498" s="293"/>
      <c r="C498" s="294"/>
      <c r="D498" s="298"/>
      <c r="E498" s="299"/>
      <c r="F498" s="299"/>
      <c r="G498" s="299"/>
      <c r="H498" s="299"/>
      <c r="I498" s="299"/>
      <c r="J498" s="346"/>
      <c r="K498" s="299"/>
      <c r="L498" s="346"/>
      <c r="M498" s="299"/>
      <c r="N498" s="299"/>
      <c r="O498" s="299"/>
      <c r="P498" s="346"/>
      <c r="Q498" s="300">
        <v>69745</v>
      </c>
      <c r="R498" s="360"/>
      <c r="S498" s="329"/>
      <c r="T498" s="385"/>
      <c r="U498" s="316"/>
      <c r="V498" s="386"/>
      <c r="W498" s="374"/>
      <c r="X498" s="371"/>
      <c r="Y498" s="262"/>
    </row>
    <row r="499" spans="1:25" ht="42.75" x14ac:dyDescent="0.25">
      <c r="A499" s="164"/>
      <c r="B499" s="42" t="s">
        <v>931</v>
      </c>
      <c r="C499" s="282"/>
      <c r="D499" s="44"/>
      <c r="E499" s="41"/>
      <c r="F499" s="41"/>
      <c r="G499" s="220">
        <f>E499-F499</f>
        <v>0</v>
      </c>
      <c r="H499" s="220">
        <f>G499*18%</f>
        <v>0</v>
      </c>
      <c r="I499" s="41">
        <f>G499+H499</f>
        <v>0</v>
      </c>
      <c r="J499" s="41">
        <f>G499*1%</f>
        <v>0</v>
      </c>
      <c r="K499" s="41">
        <f>G499*5%</f>
        <v>0</v>
      </c>
      <c r="L499" s="12"/>
      <c r="M499" s="41"/>
      <c r="N499" s="162">
        <f>H499</f>
        <v>0</v>
      </c>
      <c r="O499" s="41">
        <v>0</v>
      </c>
      <c r="P499" s="41">
        <f>I499-SUM(J499:O499)</f>
        <v>0</v>
      </c>
      <c r="Q499" s="170"/>
      <c r="R499" s="359"/>
      <c r="S499" s="27"/>
      <c r="T499" s="380">
        <v>1000000</v>
      </c>
      <c r="U499" s="380">
        <v>990000</v>
      </c>
      <c r="V499" s="390" t="s">
        <v>894</v>
      </c>
      <c r="W499" s="387">
        <v>-2970000</v>
      </c>
      <c r="X499" s="371"/>
      <c r="Y499" s="262"/>
    </row>
    <row r="500" spans="1:25" x14ac:dyDescent="0.25">
      <c r="A500" s="164"/>
      <c r="B500" s="165"/>
      <c r="C500" s="282"/>
      <c r="D500" s="44"/>
      <c r="E500" s="41"/>
      <c r="F500" s="41"/>
      <c r="G500" s="220">
        <f>E500-F500</f>
        <v>0</v>
      </c>
      <c r="H500" s="220">
        <f>G500*18%</f>
        <v>0</v>
      </c>
      <c r="I500" s="41">
        <f>G500+H500</f>
        <v>0</v>
      </c>
      <c r="J500" s="41">
        <f>G500*1%</f>
        <v>0</v>
      </c>
      <c r="K500" s="41">
        <f>G500*5%</f>
        <v>0</v>
      </c>
      <c r="L500" s="12"/>
      <c r="M500" s="41"/>
      <c r="N500" s="162">
        <f>H500</f>
        <v>0</v>
      </c>
      <c r="O500" s="41">
        <v>0</v>
      </c>
      <c r="P500" s="41">
        <f>I500-SUM(J500:O500)</f>
        <v>0</v>
      </c>
      <c r="Q500" s="170"/>
      <c r="R500" s="359"/>
      <c r="S500" s="27"/>
      <c r="T500" s="244">
        <v>500000</v>
      </c>
      <c r="U500" s="244">
        <v>495000</v>
      </c>
      <c r="V500" s="382" t="s">
        <v>895</v>
      </c>
      <c r="W500" s="190"/>
      <c r="X500" s="371"/>
      <c r="Y500" s="262"/>
    </row>
    <row r="501" spans="1:25" x14ac:dyDescent="0.25">
      <c r="A501" s="164"/>
      <c r="B501" s="165"/>
      <c r="C501" s="282"/>
      <c r="D501" s="44"/>
      <c r="E501" s="41"/>
      <c r="F501" s="41"/>
      <c r="G501" s="220">
        <f>E501-F501</f>
        <v>0</v>
      </c>
      <c r="H501" s="220">
        <f>G501*18%</f>
        <v>0</v>
      </c>
      <c r="I501" s="41">
        <f>G501+H501</f>
        <v>0</v>
      </c>
      <c r="J501" s="41">
        <f>G501*1%</f>
        <v>0</v>
      </c>
      <c r="K501" s="41">
        <f>G501*5%</f>
        <v>0</v>
      </c>
      <c r="L501" s="12"/>
      <c r="M501" s="41"/>
      <c r="N501" s="162">
        <f>H501</f>
        <v>0</v>
      </c>
      <c r="O501" s="41">
        <v>0</v>
      </c>
      <c r="P501" s="41">
        <f>I501-SUM(J501:O501)</f>
        <v>0</v>
      </c>
      <c r="Q501" s="170"/>
      <c r="R501" s="359"/>
      <c r="S501" s="27"/>
      <c r="T501" s="244">
        <v>1000000</v>
      </c>
      <c r="U501" s="244">
        <v>990000</v>
      </c>
      <c r="V501" s="382" t="s">
        <v>896</v>
      </c>
      <c r="W501" s="190"/>
      <c r="X501" s="371"/>
      <c r="Y501" s="262"/>
    </row>
    <row r="502" spans="1:25" ht="15.75" thickBot="1" x14ac:dyDescent="0.3">
      <c r="A502" s="164"/>
      <c r="B502" s="165"/>
      <c r="C502" s="282"/>
      <c r="D502" s="44"/>
      <c r="E502" s="41"/>
      <c r="F502" s="41"/>
      <c r="G502" s="220">
        <f>E502-F502</f>
        <v>0</v>
      </c>
      <c r="H502" s="220">
        <f>G502*18%</f>
        <v>0</v>
      </c>
      <c r="I502" s="41">
        <f>G502+H502</f>
        <v>0</v>
      </c>
      <c r="J502" s="41">
        <f>G502*1%</f>
        <v>0</v>
      </c>
      <c r="K502" s="41">
        <f>G502*5%</f>
        <v>0</v>
      </c>
      <c r="L502" s="12"/>
      <c r="M502" s="41"/>
      <c r="N502" s="162">
        <f>H502</f>
        <v>0</v>
      </c>
      <c r="O502" s="41">
        <v>0</v>
      </c>
      <c r="P502" s="41">
        <f>I502-SUM(J502:O502)</f>
        <v>0</v>
      </c>
      <c r="Q502" s="170"/>
      <c r="R502" s="359"/>
      <c r="S502" s="27"/>
      <c r="T502" s="383">
        <v>500000</v>
      </c>
      <c r="U502" s="383">
        <v>495000</v>
      </c>
      <c r="V502" s="384" t="s">
        <v>897</v>
      </c>
      <c r="W502" s="190"/>
      <c r="X502" s="371"/>
      <c r="Y502" s="262"/>
    </row>
    <row r="503" spans="1:25" x14ac:dyDescent="0.15">
      <c r="A503" s="164"/>
      <c r="B503" s="165"/>
      <c r="C503" s="282"/>
      <c r="D503" s="44"/>
      <c r="E503" s="41"/>
      <c r="F503" s="41"/>
      <c r="G503" s="220"/>
      <c r="H503" s="220"/>
      <c r="I503" s="41"/>
      <c r="J503" s="347"/>
      <c r="K503" s="41"/>
      <c r="L503" s="351"/>
      <c r="M503" s="41"/>
      <c r="N503" s="162"/>
      <c r="O503" s="41"/>
      <c r="P503" s="347"/>
      <c r="Q503" s="170"/>
      <c r="R503" s="359"/>
      <c r="S503" s="27"/>
      <c r="T503" s="432">
        <v>500000</v>
      </c>
      <c r="U503" s="433">
        <v>495000</v>
      </c>
      <c r="V503" s="99" t="s">
        <v>929</v>
      </c>
      <c r="W503" s="190"/>
      <c r="X503" s="371"/>
      <c r="Y503" s="262"/>
    </row>
    <row r="504" spans="1:25" ht="15.75" thickBot="1" x14ac:dyDescent="0.3">
      <c r="A504" s="292">
        <v>69829</v>
      </c>
      <c r="B504" s="293"/>
      <c r="C504" s="294"/>
      <c r="D504" s="298"/>
      <c r="E504" s="299"/>
      <c r="F504" s="299"/>
      <c r="G504" s="299"/>
      <c r="H504" s="299"/>
      <c r="I504" s="299"/>
      <c r="J504" s="346"/>
      <c r="K504" s="299"/>
      <c r="L504" s="346"/>
      <c r="M504" s="299"/>
      <c r="N504" s="299"/>
      <c r="O504" s="299"/>
      <c r="P504" s="346"/>
      <c r="Q504" s="300">
        <v>69829</v>
      </c>
      <c r="R504" s="360"/>
      <c r="S504" s="329"/>
      <c r="T504" s="385"/>
      <c r="U504" s="316"/>
      <c r="V504" s="386"/>
      <c r="W504" s="259"/>
      <c r="X504" s="371"/>
      <c r="Y504" s="262"/>
    </row>
    <row r="505" spans="1:25" ht="42.75" x14ac:dyDescent="0.25">
      <c r="A505" s="164"/>
      <c r="B505" s="42" t="s">
        <v>932</v>
      </c>
      <c r="C505" s="282"/>
      <c r="D505" s="44"/>
      <c r="E505" s="41"/>
      <c r="F505" s="41"/>
      <c r="G505" s="220">
        <f>E505-F505</f>
        <v>0</v>
      </c>
      <c r="H505" s="220">
        <f>G505*18%</f>
        <v>0</v>
      </c>
      <c r="I505" s="41">
        <f>G505+H505</f>
        <v>0</v>
      </c>
      <c r="J505" s="41">
        <f>G505*1%</f>
        <v>0</v>
      </c>
      <c r="K505" s="41">
        <f>G505*5%</f>
        <v>0</v>
      </c>
      <c r="L505" s="12"/>
      <c r="M505" s="41"/>
      <c r="N505" s="162">
        <f>H505</f>
        <v>0</v>
      </c>
      <c r="O505" s="41">
        <v>0</v>
      </c>
      <c r="P505" s="41">
        <f>I505-SUM(J505:O505)</f>
        <v>0</v>
      </c>
      <c r="Q505" s="170"/>
      <c r="R505" s="359"/>
      <c r="S505" s="27"/>
      <c r="T505" s="380">
        <v>500000</v>
      </c>
      <c r="U505" s="380">
        <v>495000</v>
      </c>
      <c r="V505" s="390" t="s">
        <v>898</v>
      </c>
      <c r="W505" s="190">
        <v>-2722500</v>
      </c>
      <c r="X505" s="371"/>
      <c r="Y505" s="262"/>
    </row>
    <row r="506" spans="1:25" x14ac:dyDescent="0.25">
      <c r="A506" s="164"/>
      <c r="B506" s="165"/>
      <c r="C506" s="282"/>
      <c r="D506" s="44"/>
      <c r="E506" s="41"/>
      <c r="F506" s="41"/>
      <c r="G506" s="220">
        <f>E506-F506</f>
        <v>0</v>
      </c>
      <c r="H506" s="220">
        <f>G506*18%</f>
        <v>0</v>
      </c>
      <c r="I506" s="41">
        <f>G506+H506</f>
        <v>0</v>
      </c>
      <c r="J506" s="41">
        <f>G506*1%</f>
        <v>0</v>
      </c>
      <c r="K506" s="41">
        <f>G506*5%</f>
        <v>0</v>
      </c>
      <c r="L506" s="12"/>
      <c r="M506" s="41"/>
      <c r="N506" s="162">
        <f>H506</f>
        <v>0</v>
      </c>
      <c r="O506" s="41">
        <v>0</v>
      </c>
      <c r="P506" s="41">
        <f>I506-SUM(J506:O506)</f>
        <v>0</v>
      </c>
      <c r="Q506" s="170"/>
      <c r="R506" s="359"/>
      <c r="S506" s="27"/>
      <c r="T506" s="244">
        <v>500000</v>
      </c>
      <c r="U506" s="244">
        <v>495000</v>
      </c>
      <c r="V506" s="382" t="s">
        <v>899</v>
      </c>
      <c r="W506" s="190"/>
      <c r="X506" s="371"/>
      <c r="Y506" s="262"/>
    </row>
    <row r="507" spans="1:25" x14ac:dyDescent="0.25">
      <c r="A507" s="164"/>
      <c r="B507" s="165"/>
      <c r="C507" s="282"/>
      <c r="D507" s="44"/>
      <c r="E507" s="41"/>
      <c r="F507" s="41"/>
      <c r="G507" s="220">
        <f>E507-F507</f>
        <v>0</v>
      </c>
      <c r="H507" s="220">
        <f>G507*18%</f>
        <v>0</v>
      </c>
      <c r="I507" s="41">
        <f>G507+H507</f>
        <v>0</v>
      </c>
      <c r="J507" s="41">
        <f>G507*1%</f>
        <v>0</v>
      </c>
      <c r="K507" s="41">
        <f>G507*5%</f>
        <v>0</v>
      </c>
      <c r="L507" s="12"/>
      <c r="M507" s="41"/>
      <c r="N507" s="162">
        <f>H507</f>
        <v>0</v>
      </c>
      <c r="O507" s="41">
        <v>0</v>
      </c>
      <c r="P507" s="41">
        <f>I507-SUM(J507:O507)</f>
        <v>0</v>
      </c>
      <c r="Q507" s="170"/>
      <c r="R507" s="359"/>
      <c r="S507" s="27"/>
      <c r="T507" s="244">
        <v>1000000</v>
      </c>
      <c r="U507" s="244">
        <v>990000</v>
      </c>
      <c r="V507" s="382" t="s">
        <v>900</v>
      </c>
      <c r="W507" s="190"/>
      <c r="X507" s="371"/>
      <c r="Y507" s="262"/>
    </row>
    <row r="508" spans="1:25" ht="15.75" thickBot="1" x14ac:dyDescent="0.3">
      <c r="A508" s="164"/>
      <c r="B508" s="165"/>
      <c r="C508" s="282"/>
      <c r="D508" s="44"/>
      <c r="E508" s="41"/>
      <c r="F508" s="41"/>
      <c r="G508" s="220">
        <f>E508-F508</f>
        <v>0</v>
      </c>
      <c r="H508" s="220">
        <f>G508*18%</f>
        <v>0</v>
      </c>
      <c r="I508" s="41">
        <f>G508+H508</f>
        <v>0</v>
      </c>
      <c r="J508" s="41">
        <f>G508*1%</f>
        <v>0</v>
      </c>
      <c r="K508" s="41">
        <f>G508*5%</f>
        <v>0</v>
      </c>
      <c r="L508" s="12"/>
      <c r="M508" s="41"/>
      <c r="N508" s="162">
        <f>H508</f>
        <v>0</v>
      </c>
      <c r="O508" s="41">
        <v>0</v>
      </c>
      <c r="P508" s="41">
        <f>I508-SUM(J508:O508)</f>
        <v>0</v>
      </c>
      <c r="Q508" s="170"/>
      <c r="R508" s="359"/>
      <c r="S508" s="27"/>
      <c r="T508" s="383">
        <v>750000</v>
      </c>
      <c r="U508" s="383">
        <v>742500</v>
      </c>
      <c r="V508" s="384" t="s">
        <v>901</v>
      </c>
      <c r="W508" s="190"/>
      <c r="X508" s="371"/>
      <c r="Y508" s="262"/>
    </row>
    <row r="509" spans="1:25" ht="15.75" thickBot="1" x14ac:dyDescent="0.3">
      <c r="A509" s="292">
        <v>70036</v>
      </c>
      <c r="B509" s="293"/>
      <c r="C509" s="294"/>
      <c r="D509" s="298"/>
      <c r="E509" s="299"/>
      <c r="F509" s="299"/>
      <c r="G509" s="299"/>
      <c r="H509" s="299"/>
      <c r="I509" s="299"/>
      <c r="J509" s="346"/>
      <c r="K509" s="299"/>
      <c r="L509" s="346"/>
      <c r="M509" s="299"/>
      <c r="N509" s="299"/>
      <c r="O509" s="299"/>
      <c r="P509" s="346"/>
      <c r="Q509" s="300">
        <v>70036</v>
      </c>
      <c r="R509" s="360"/>
      <c r="S509" s="329"/>
      <c r="T509" s="385"/>
      <c r="U509" s="316"/>
      <c r="V509" s="386"/>
      <c r="W509" s="259"/>
      <c r="X509" s="371"/>
      <c r="Y509" s="262"/>
    </row>
    <row r="510" spans="1:25" ht="42.75" x14ac:dyDescent="0.25">
      <c r="A510" s="164"/>
      <c r="B510" s="42" t="s">
        <v>933</v>
      </c>
      <c r="C510" s="282"/>
      <c r="D510" s="44"/>
      <c r="E510" s="41"/>
      <c r="F510" s="41"/>
      <c r="G510" s="220">
        <f>E510-F510</f>
        <v>0</v>
      </c>
      <c r="H510" s="220">
        <f>G510*18%</f>
        <v>0</v>
      </c>
      <c r="I510" s="41">
        <f>G510+H510</f>
        <v>0</v>
      </c>
      <c r="J510" s="41">
        <f>G510*1%</f>
        <v>0</v>
      </c>
      <c r="K510" s="41">
        <f>G510*5%</f>
        <v>0</v>
      </c>
      <c r="L510" s="12"/>
      <c r="M510" s="41"/>
      <c r="N510" s="162">
        <f>H510</f>
        <v>0</v>
      </c>
      <c r="O510" s="41">
        <v>0</v>
      </c>
      <c r="P510" s="41">
        <f>I510-SUM(J510:O510)</f>
        <v>0</v>
      </c>
      <c r="Q510" s="170"/>
      <c r="R510" s="359"/>
      <c r="S510" s="27"/>
      <c r="T510" s="380">
        <v>1000000</v>
      </c>
      <c r="U510" s="373">
        <v>990000</v>
      </c>
      <c r="V510" s="390" t="s">
        <v>902</v>
      </c>
      <c r="W510" s="190">
        <v>-1980000</v>
      </c>
      <c r="X510" s="371"/>
      <c r="Y510" s="262"/>
    </row>
    <row r="511" spans="1:25" x14ac:dyDescent="0.25">
      <c r="A511" s="164"/>
      <c r="B511" s="165"/>
      <c r="C511" s="282"/>
      <c r="D511" s="44"/>
      <c r="E511" s="41"/>
      <c r="F511" s="41"/>
      <c r="G511" s="220">
        <f>E511-F511</f>
        <v>0</v>
      </c>
      <c r="H511" s="220">
        <f>G511*18%</f>
        <v>0</v>
      </c>
      <c r="I511" s="41">
        <f>G511+H511</f>
        <v>0</v>
      </c>
      <c r="J511" s="41">
        <f>G511*1%</f>
        <v>0</v>
      </c>
      <c r="K511" s="41">
        <f>G511*5%</f>
        <v>0</v>
      </c>
      <c r="L511" s="12"/>
      <c r="M511" s="41"/>
      <c r="N511" s="162">
        <f>H511</f>
        <v>0</v>
      </c>
      <c r="O511" s="41">
        <v>0</v>
      </c>
      <c r="P511" s="41">
        <f>I511-SUM(J511:O511)</f>
        <v>0</v>
      </c>
      <c r="Q511" s="170"/>
      <c r="R511" s="359"/>
      <c r="S511" s="27"/>
      <c r="T511" s="244">
        <v>500000</v>
      </c>
      <c r="U511" s="40">
        <v>495000</v>
      </c>
      <c r="V511" s="382" t="s">
        <v>903</v>
      </c>
      <c r="W511" s="190"/>
      <c r="X511" s="371"/>
      <c r="Y511" s="262"/>
    </row>
    <row r="512" spans="1:25" x14ac:dyDescent="0.25">
      <c r="A512" s="164"/>
      <c r="B512" s="165"/>
      <c r="C512" s="282"/>
      <c r="D512" s="44"/>
      <c r="E512" s="41"/>
      <c r="F512" s="41"/>
      <c r="G512" s="220">
        <f>E512-F512</f>
        <v>0</v>
      </c>
      <c r="H512" s="220">
        <f>G512*18%</f>
        <v>0</v>
      </c>
      <c r="I512" s="41">
        <f>G512+H512</f>
        <v>0</v>
      </c>
      <c r="J512" s="41">
        <f>G512*1%</f>
        <v>0</v>
      </c>
      <c r="K512" s="41">
        <f>G512*5%</f>
        <v>0</v>
      </c>
      <c r="L512" s="12"/>
      <c r="M512" s="41"/>
      <c r="N512" s="162">
        <f>H512</f>
        <v>0</v>
      </c>
      <c r="O512" s="41">
        <v>0</v>
      </c>
      <c r="P512" s="41">
        <f>I512-SUM(J512:O512)</f>
        <v>0</v>
      </c>
      <c r="Q512" s="170"/>
      <c r="R512" s="359"/>
      <c r="S512" s="27"/>
      <c r="T512" s="244">
        <v>500000</v>
      </c>
      <c r="U512" s="40">
        <v>495000</v>
      </c>
      <c r="V512" s="382" t="s">
        <v>904</v>
      </c>
      <c r="W512" s="190"/>
      <c r="X512" s="371"/>
      <c r="Y512" s="262"/>
    </row>
    <row r="513" spans="1:25" ht="15.75" thickBot="1" x14ac:dyDescent="0.2">
      <c r="A513" s="164"/>
      <c r="B513" s="165"/>
      <c r="C513" s="282"/>
      <c r="D513" s="44"/>
      <c r="E513" s="41"/>
      <c r="F513" s="41"/>
      <c r="G513" s="220">
        <f>E513-F513</f>
        <v>0</v>
      </c>
      <c r="H513" s="220">
        <f>G513*18%</f>
        <v>0</v>
      </c>
      <c r="I513" s="41">
        <f>G513+H513</f>
        <v>0</v>
      </c>
      <c r="J513" s="41">
        <f>G513*1%</f>
        <v>0</v>
      </c>
      <c r="K513" s="41">
        <f>G513*5%</f>
        <v>0</v>
      </c>
      <c r="L513" s="12"/>
      <c r="M513" s="41"/>
      <c r="N513" s="162">
        <f>H513</f>
        <v>0</v>
      </c>
      <c r="O513" s="41">
        <v>0</v>
      </c>
      <c r="P513" s="41">
        <f>I513-SUM(J513:O513)</f>
        <v>0</v>
      </c>
      <c r="Q513" s="170"/>
      <c r="R513" s="359"/>
      <c r="S513" s="27"/>
      <c r="T513" s="420">
        <v>500000</v>
      </c>
      <c r="U513" s="187">
        <v>495000</v>
      </c>
      <c r="V513" s="99" t="s">
        <v>914</v>
      </c>
      <c r="W513" s="190"/>
      <c r="X513" s="371"/>
      <c r="Y513" s="262"/>
    </row>
    <row r="514" spans="1:25" ht="15.75" thickBot="1" x14ac:dyDescent="0.3">
      <c r="A514" s="292">
        <v>70074</v>
      </c>
      <c r="B514" s="293"/>
      <c r="C514" s="294"/>
      <c r="D514" s="298"/>
      <c r="E514" s="299"/>
      <c r="F514" s="299"/>
      <c r="G514" s="299"/>
      <c r="H514" s="299"/>
      <c r="I514" s="299"/>
      <c r="J514" s="346"/>
      <c r="K514" s="299"/>
      <c r="L514" s="346"/>
      <c r="M514" s="299"/>
      <c r="N514" s="299"/>
      <c r="O514" s="299"/>
      <c r="P514" s="346"/>
      <c r="Q514" s="300">
        <v>70074</v>
      </c>
      <c r="R514" s="360"/>
      <c r="S514" s="329"/>
      <c r="T514" s="379"/>
      <c r="U514" s="306"/>
      <c r="V514" s="386"/>
      <c r="W514" s="259"/>
      <c r="X514" s="371"/>
      <c r="Y514" s="262"/>
    </row>
    <row r="515" spans="1:25" ht="42.75" x14ac:dyDescent="0.25">
      <c r="A515" s="164"/>
      <c r="B515" s="42" t="s">
        <v>934</v>
      </c>
      <c r="C515" s="282"/>
      <c r="D515" s="44"/>
      <c r="E515" s="41"/>
      <c r="F515" s="41"/>
      <c r="G515" s="220">
        <f t="shared" ref="G515:G549" si="75">E515-F515</f>
        <v>0</v>
      </c>
      <c r="H515" s="220">
        <f t="shared" ref="H515:H549" si="76">G515*18%</f>
        <v>0</v>
      </c>
      <c r="I515" s="41">
        <f t="shared" ref="I515:I549" si="77">G515+H515</f>
        <v>0</v>
      </c>
      <c r="J515" s="41">
        <f t="shared" ref="J515:J549" si="78">G515*1%</f>
        <v>0</v>
      </c>
      <c r="K515" s="41">
        <f t="shared" ref="K515:K549" si="79">G515*5%</f>
        <v>0</v>
      </c>
      <c r="L515" s="12"/>
      <c r="M515" s="41"/>
      <c r="N515" s="162">
        <f t="shared" ref="N515:N549" si="80">H515</f>
        <v>0</v>
      </c>
      <c r="O515" s="41">
        <v>0</v>
      </c>
      <c r="P515" s="41">
        <f t="shared" ref="P515:P549" si="81">I515-SUM(J515:O515)</f>
        <v>0</v>
      </c>
      <c r="Q515" s="170"/>
      <c r="R515" s="359"/>
      <c r="S515" s="27"/>
      <c r="T515" s="361">
        <v>1000000</v>
      </c>
      <c r="U515" s="244">
        <v>990000</v>
      </c>
      <c r="V515" s="390" t="s">
        <v>905</v>
      </c>
      <c r="W515" s="190">
        <v>-1980000</v>
      </c>
      <c r="X515" s="371"/>
      <c r="Y515" s="262"/>
    </row>
    <row r="516" spans="1:25" x14ac:dyDescent="0.25">
      <c r="A516" s="164"/>
      <c r="B516" s="165"/>
      <c r="C516" s="282"/>
      <c r="D516" s="44"/>
      <c r="E516" s="41"/>
      <c r="F516" s="41"/>
      <c r="G516" s="220">
        <f t="shared" si="75"/>
        <v>0</v>
      </c>
      <c r="H516" s="220">
        <f t="shared" si="76"/>
        <v>0</v>
      </c>
      <c r="I516" s="41">
        <f t="shared" si="77"/>
        <v>0</v>
      </c>
      <c r="J516" s="41">
        <f t="shared" si="78"/>
        <v>0</v>
      </c>
      <c r="K516" s="41">
        <f t="shared" si="79"/>
        <v>0</v>
      </c>
      <c r="L516" s="12"/>
      <c r="M516" s="41"/>
      <c r="N516" s="162">
        <f t="shared" si="80"/>
        <v>0</v>
      </c>
      <c r="O516" s="41">
        <v>0</v>
      </c>
      <c r="P516" s="41">
        <f t="shared" si="81"/>
        <v>0</v>
      </c>
      <c r="Q516" s="170"/>
      <c r="R516" s="359"/>
      <c r="S516" s="27"/>
      <c r="T516" s="362">
        <v>1000000</v>
      </c>
      <c r="U516" s="257">
        <v>990000</v>
      </c>
      <c r="V516" s="469" t="s">
        <v>906</v>
      </c>
      <c r="W516" s="470"/>
      <c r="X516" s="371"/>
      <c r="Y516" s="262"/>
    </row>
    <row r="517" spans="1:25" x14ac:dyDescent="0.15">
      <c r="A517" s="164"/>
      <c r="B517" s="165"/>
      <c r="C517" s="282"/>
      <c r="D517" s="44"/>
      <c r="E517" s="41"/>
      <c r="F517" s="41"/>
      <c r="G517" s="220">
        <f t="shared" si="75"/>
        <v>0</v>
      </c>
      <c r="H517" s="220">
        <f t="shared" si="76"/>
        <v>0</v>
      </c>
      <c r="I517" s="41">
        <f t="shared" si="77"/>
        <v>0</v>
      </c>
      <c r="J517" s="41">
        <f t="shared" si="78"/>
        <v>0</v>
      </c>
      <c r="K517" s="41">
        <f t="shared" si="79"/>
        <v>0</v>
      </c>
      <c r="L517" s="12"/>
      <c r="M517" s="41"/>
      <c r="N517" s="162">
        <f t="shared" si="80"/>
        <v>0</v>
      </c>
      <c r="O517" s="41">
        <v>0</v>
      </c>
      <c r="P517" s="41">
        <f t="shared" si="81"/>
        <v>0</v>
      </c>
      <c r="Q517" s="170"/>
      <c r="R517" s="359"/>
      <c r="S517" s="468"/>
      <c r="T517" s="463">
        <v>1000000</v>
      </c>
      <c r="U517" s="463">
        <v>990000</v>
      </c>
      <c r="V517" s="462" t="s">
        <v>906</v>
      </c>
      <c r="W517" s="185"/>
      <c r="X517" s="371"/>
      <c r="Y517" s="262"/>
    </row>
    <row r="518" spans="1:25" x14ac:dyDescent="0.15">
      <c r="A518" s="164"/>
      <c r="B518" s="165"/>
      <c r="C518" s="282"/>
      <c r="D518" s="44"/>
      <c r="E518" s="41"/>
      <c r="F518" s="41"/>
      <c r="G518" s="220">
        <f t="shared" si="75"/>
        <v>0</v>
      </c>
      <c r="H518" s="220">
        <f t="shared" si="76"/>
        <v>0</v>
      </c>
      <c r="I518" s="41">
        <f t="shared" si="77"/>
        <v>0</v>
      </c>
      <c r="J518" s="41">
        <f t="shared" si="78"/>
        <v>0</v>
      </c>
      <c r="K518" s="41">
        <f t="shared" si="79"/>
        <v>0</v>
      </c>
      <c r="L518" s="12"/>
      <c r="M518" s="41"/>
      <c r="N518" s="162">
        <f t="shared" si="80"/>
        <v>0</v>
      </c>
      <c r="O518" s="41">
        <v>0</v>
      </c>
      <c r="P518" s="41">
        <f t="shared" si="81"/>
        <v>0</v>
      </c>
      <c r="Q518" s="170"/>
      <c r="R518" s="359"/>
      <c r="S518" s="468"/>
      <c r="T518" s="463">
        <v>500000</v>
      </c>
      <c r="U518" s="463">
        <v>495000</v>
      </c>
      <c r="V518" s="462" t="s">
        <v>912</v>
      </c>
      <c r="W518" s="185"/>
      <c r="X518" s="371"/>
      <c r="Y518" s="262"/>
    </row>
    <row r="519" spans="1:25" x14ac:dyDescent="0.15">
      <c r="A519" s="164"/>
      <c r="B519" s="165"/>
      <c r="C519" s="282"/>
      <c r="D519" s="44"/>
      <c r="E519" s="41"/>
      <c r="F519" s="41"/>
      <c r="G519" s="220">
        <f t="shared" si="75"/>
        <v>0</v>
      </c>
      <c r="H519" s="220">
        <f t="shared" si="76"/>
        <v>0</v>
      </c>
      <c r="I519" s="41">
        <f t="shared" si="77"/>
        <v>0</v>
      </c>
      <c r="J519" s="41">
        <f t="shared" si="78"/>
        <v>0</v>
      </c>
      <c r="K519" s="41">
        <f t="shared" si="79"/>
        <v>0</v>
      </c>
      <c r="L519" s="12"/>
      <c r="M519" s="41"/>
      <c r="N519" s="162">
        <f t="shared" si="80"/>
        <v>0</v>
      </c>
      <c r="O519" s="41">
        <v>0</v>
      </c>
      <c r="P519" s="41">
        <f t="shared" si="81"/>
        <v>0</v>
      </c>
      <c r="Q519" s="170"/>
      <c r="R519" s="359"/>
      <c r="S519" s="468"/>
      <c r="T519" s="463">
        <v>100000</v>
      </c>
      <c r="U519" s="463">
        <v>99000</v>
      </c>
      <c r="V519" s="462" t="s">
        <v>913</v>
      </c>
      <c r="W519" s="185"/>
      <c r="X519" s="371"/>
      <c r="Y519" s="262"/>
    </row>
    <row r="520" spans="1:25" x14ac:dyDescent="0.25">
      <c r="A520" s="421">
        <v>70373</v>
      </c>
      <c r="B520" s="422"/>
      <c r="C520" s="423"/>
      <c r="D520" s="424"/>
      <c r="E520" s="425"/>
      <c r="F520" s="425"/>
      <c r="G520" s="425">
        <f t="shared" si="75"/>
        <v>0</v>
      </c>
      <c r="H520" s="425">
        <f t="shared" si="76"/>
        <v>0</v>
      </c>
      <c r="I520" s="425">
        <f t="shared" si="77"/>
        <v>0</v>
      </c>
      <c r="J520" s="425">
        <f t="shared" si="78"/>
        <v>0</v>
      </c>
      <c r="K520" s="425">
        <f t="shared" si="79"/>
        <v>0</v>
      </c>
      <c r="L520" s="425"/>
      <c r="M520" s="425"/>
      <c r="N520" s="426">
        <f t="shared" si="80"/>
        <v>0</v>
      </c>
      <c r="O520" s="425">
        <v>0</v>
      </c>
      <c r="P520" s="425">
        <f t="shared" si="81"/>
        <v>0</v>
      </c>
      <c r="Q520" s="421">
        <v>70373</v>
      </c>
      <c r="R520" s="427"/>
      <c r="S520" s="428"/>
      <c r="T520" s="471"/>
      <c r="U520" s="464"/>
      <c r="V520" s="430"/>
      <c r="W520" s="472"/>
      <c r="X520" s="371"/>
      <c r="Y520" s="262"/>
    </row>
    <row r="521" spans="1:25" ht="42.75" x14ac:dyDescent="0.15">
      <c r="A521" s="164"/>
      <c r="B521" s="42" t="s">
        <v>935</v>
      </c>
      <c r="C521" s="282"/>
      <c r="D521" s="44"/>
      <c r="E521" s="41"/>
      <c r="F521" s="41"/>
      <c r="G521" s="220">
        <f t="shared" si="75"/>
        <v>0</v>
      </c>
      <c r="H521" s="220">
        <f t="shared" si="76"/>
        <v>0</v>
      </c>
      <c r="I521" s="41">
        <f t="shared" si="77"/>
        <v>0</v>
      </c>
      <c r="J521" s="41">
        <f t="shared" si="78"/>
        <v>0</v>
      </c>
      <c r="K521" s="41">
        <f t="shared" si="79"/>
        <v>0</v>
      </c>
      <c r="L521" s="12"/>
      <c r="M521" s="41"/>
      <c r="N521" s="162">
        <f t="shared" si="80"/>
        <v>0</v>
      </c>
      <c r="O521" s="41">
        <v>0</v>
      </c>
      <c r="P521" s="41">
        <f t="shared" si="81"/>
        <v>0</v>
      </c>
      <c r="Q521" s="164"/>
      <c r="R521" s="359"/>
      <c r="S521" s="27"/>
      <c r="T521" s="356">
        <v>100000</v>
      </c>
      <c r="U521" s="185" t="s">
        <v>916</v>
      </c>
      <c r="V521" s="462" t="s">
        <v>915</v>
      </c>
      <c r="W521" s="190"/>
      <c r="X521" s="371"/>
      <c r="Y521" s="262"/>
    </row>
    <row r="522" spans="1:25" x14ac:dyDescent="0.15">
      <c r="A522" s="164"/>
      <c r="B522" s="165"/>
      <c r="C522" s="282"/>
      <c r="D522" s="44"/>
      <c r="E522" s="41"/>
      <c r="F522" s="41"/>
      <c r="G522" s="220">
        <f t="shared" si="75"/>
        <v>0</v>
      </c>
      <c r="H522" s="220">
        <f t="shared" si="76"/>
        <v>0</v>
      </c>
      <c r="I522" s="41">
        <f t="shared" si="77"/>
        <v>0</v>
      </c>
      <c r="J522" s="41">
        <f t="shared" si="78"/>
        <v>0</v>
      </c>
      <c r="K522" s="41">
        <f t="shared" si="79"/>
        <v>0</v>
      </c>
      <c r="L522" s="12"/>
      <c r="M522" s="41"/>
      <c r="N522" s="162">
        <f t="shared" si="80"/>
        <v>0</v>
      </c>
      <c r="O522" s="41">
        <v>0</v>
      </c>
      <c r="P522" s="41">
        <f t="shared" si="81"/>
        <v>0</v>
      </c>
      <c r="Q522" s="164"/>
      <c r="R522" s="359"/>
      <c r="S522" s="27"/>
      <c r="T522" s="363"/>
      <c r="U522" s="463"/>
      <c r="V522" s="462"/>
      <c r="W522" s="190"/>
      <c r="X522" s="371"/>
      <c r="Y522" s="262"/>
    </row>
    <row r="523" spans="1:25" x14ac:dyDescent="0.15">
      <c r="A523" s="164"/>
      <c r="B523" s="165"/>
      <c r="C523" s="282"/>
      <c r="D523" s="44"/>
      <c r="E523" s="41"/>
      <c r="F523" s="41"/>
      <c r="G523" s="220">
        <f t="shared" si="75"/>
        <v>0</v>
      </c>
      <c r="H523" s="220">
        <f t="shared" si="76"/>
        <v>0</v>
      </c>
      <c r="I523" s="41">
        <f t="shared" si="77"/>
        <v>0</v>
      </c>
      <c r="J523" s="41">
        <f t="shared" si="78"/>
        <v>0</v>
      </c>
      <c r="K523" s="41">
        <f t="shared" si="79"/>
        <v>0</v>
      </c>
      <c r="L523" s="12"/>
      <c r="M523" s="41"/>
      <c r="N523" s="162">
        <f t="shared" si="80"/>
        <v>0</v>
      </c>
      <c r="O523" s="41">
        <v>0</v>
      </c>
      <c r="P523" s="41">
        <f t="shared" si="81"/>
        <v>0</v>
      </c>
      <c r="Q523" s="164"/>
      <c r="R523" s="359"/>
      <c r="S523" s="27"/>
      <c r="T523" s="363"/>
      <c r="U523" s="463"/>
      <c r="V523" s="462"/>
      <c r="W523" s="190"/>
      <c r="X523" s="371"/>
      <c r="Y523" s="262"/>
    </row>
    <row r="524" spans="1:25" x14ac:dyDescent="0.15">
      <c r="A524" s="164"/>
      <c r="B524" s="165"/>
      <c r="C524" s="282"/>
      <c r="D524" s="44"/>
      <c r="E524" s="41"/>
      <c r="F524" s="41"/>
      <c r="G524" s="220">
        <f t="shared" si="75"/>
        <v>0</v>
      </c>
      <c r="H524" s="220">
        <f t="shared" si="76"/>
        <v>0</v>
      </c>
      <c r="I524" s="41">
        <f t="shared" si="77"/>
        <v>0</v>
      </c>
      <c r="J524" s="41">
        <f t="shared" si="78"/>
        <v>0</v>
      </c>
      <c r="K524" s="41">
        <f t="shared" si="79"/>
        <v>0</v>
      </c>
      <c r="L524" s="12"/>
      <c r="M524" s="41"/>
      <c r="N524" s="162">
        <f t="shared" si="80"/>
        <v>0</v>
      </c>
      <c r="O524" s="41">
        <v>0</v>
      </c>
      <c r="P524" s="41">
        <f t="shared" si="81"/>
        <v>0</v>
      </c>
      <c r="Q524" s="164"/>
      <c r="R524" s="359"/>
      <c r="S524" s="27"/>
      <c r="T524" s="363"/>
      <c r="U524" s="463"/>
      <c r="V524" s="462"/>
      <c r="W524" s="190"/>
      <c r="X524" s="371"/>
      <c r="Y524" s="262"/>
    </row>
    <row r="525" spans="1:25" x14ac:dyDescent="0.25">
      <c r="A525" s="164"/>
      <c r="B525" s="165"/>
      <c r="C525" s="282"/>
      <c r="D525" s="44"/>
      <c r="E525" s="41"/>
      <c r="F525" s="41"/>
      <c r="G525" s="220">
        <f t="shared" si="75"/>
        <v>0</v>
      </c>
      <c r="H525" s="220">
        <f t="shared" si="76"/>
        <v>0</v>
      </c>
      <c r="I525" s="41">
        <f t="shared" si="77"/>
        <v>0</v>
      </c>
      <c r="J525" s="41">
        <f t="shared" si="78"/>
        <v>0</v>
      </c>
      <c r="K525" s="41">
        <f t="shared" si="79"/>
        <v>0</v>
      </c>
      <c r="L525" s="12"/>
      <c r="M525" s="41"/>
      <c r="N525" s="162">
        <f t="shared" si="80"/>
        <v>0</v>
      </c>
      <c r="O525" s="41">
        <v>0</v>
      </c>
      <c r="P525" s="41">
        <f t="shared" si="81"/>
        <v>0</v>
      </c>
      <c r="Q525" s="164"/>
      <c r="R525" s="359"/>
      <c r="S525" s="27"/>
      <c r="T525" s="363"/>
      <c r="U525" s="365"/>
      <c r="V525" s="369"/>
      <c r="W525" s="37"/>
      <c r="X525" s="371"/>
      <c r="Y525" s="262"/>
    </row>
    <row r="526" spans="1:25" x14ac:dyDescent="0.25">
      <c r="A526" s="421">
        <v>70464</v>
      </c>
      <c r="B526" s="422"/>
      <c r="C526" s="423"/>
      <c r="D526" s="424"/>
      <c r="E526" s="425"/>
      <c r="F526" s="425"/>
      <c r="G526" s="425">
        <f t="shared" si="75"/>
        <v>0</v>
      </c>
      <c r="H526" s="425">
        <f t="shared" si="76"/>
        <v>0</v>
      </c>
      <c r="I526" s="425">
        <f t="shared" si="77"/>
        <v>0</v>
      </c>
      <c r="J526" s="425">
        <f t="shared" si="78"/>
        <v>0</v>
      </c>
      <c r="K526" s="425">
        <f t="shared" si="79"/>
        <v>0</v>
      </c>
      <c r="L526" s="425"/>
      <c r="M526" s="425"/>
      <c r="N526" s="426">
        <f t="shared" si="80"/>
        <v>0</v>
      </c>
      <c r="O526" s="425">
        <v>0</v>
      </c>
      <c r="P526" s="425">
        <f t="shared" si="81"/>
        <v>0</v>
      </c>
      <c r="Q526" s="421">
        <v>70464</v>
      </c>
      <c r="R526" s="427"/>
      <c r="S526" s="428"/>
      <c r="T526" s="429"/>
      <c r="U526" s="461"/>
      <c r="V526" s="430"/>
      <c r="W526" s="431"/>
      <c r="X526" s="371"/>
      <c r="Y526" s="262"/>
    </row>
    <row r="527" spans="1:25" ht="57" x14ac:dyDescent="0.15">
      <c r="A527" s="164"/>
      <c r="B527" s="42" t="s">
        <v>936</v>
      </c>
      <c r="C527" s="282"/>
      <c r="D527" s="44"/>
      <c r="E527" s="41"/>
      <c r="F527" s="41"/>
      <c r="G527" s="220">
        <f t="shared" si="75"/>
        <v>0</v>
      </c>
      <c r="H527" s="220">
        <f t="shared" si="76"/>
        <v>0</v>
      </c>
      <c r="I527" s="41">
        <f t="shared" si="77"/>
        <v>0</v>
      </c>
      <c r="J527" s="41">
        <f t="shared" si="78"/>
        <v>0</v>
      </c>
      <c r="K527" s="41">
        <f t="shared" si="79"/>
        <v>0</v>
      </c>
      <c r="L527" s="12"/>
      <c r="M527" s="41"/>
      <c r="N527" s="162">
        <f t="shared" si="80"/>
        <v>0</v>
      </c>
      <c r="O527" s="41">
        <v>0</v>
      </c>
      <c r="P527" s="41">
        <f t="shared" si="81"/>
        <v>0</v>
      </c>
      <c r="Q527" s="164"/>
      <c r="R527" s="359"/>
      <c r="S527" s="27"/>
      <c r="T527" s="356">
        <v>100000</v>
      </c>
      <c r="U527" s="185">
        <v>9900000</v>
      </c>
      <c r="V527" s="462" t="s">
        <v>917</v>
      </c>
      <c r="W527" s="190"/>
      <c r="X527" s="371"/>
      <c r="Y527" s="262"/>
    </row>
    <row r="528" spans="1:25" x14ac:dyDescent="0.15">
      <c r="A528" s="164"/>
      <c r="B528" s="165"/>
      <c r="C528" s="282"/>
      <c r="D528" s="44"/>
      <c r="E528" s="41"/>
      <c r="F528" s="41"/>
      <c r="G528" s="220">
        <f t="shared" si="75"/>
        <v>0</v>
      </c>
      <c r="H528" s="220">
        <f t="shared" si="76"/>
        <v>0</v>
      </c>
      <c r="I528" s="41">
        <f t="shared" si="77"/>
        <v>0</v>
      </c>
      <c r="J528" s="41">
        <f t="shared" si="78"/>
        <v>0</v>
      </c>
      <c r="K528" s="41">
        <f t="shared" si="79"/>
        <v>0</v>
      </c>
      <c r="L528" s="12"/>
      <c r="M528" s="41"/>
      <c r="N528" s="162">
        <f t="shared" si="80"/>
        <v>0</v>
      </c>
      <c r="O528" s="41">
        <v>0</v>
      </c>
      <c r="P528" s="41">
        <f t="shared" si="81"/>
        <v>0</v>
      </c>
      <c r="Q528" s="164"/>
      <c r="R528" s="359"/>
      <c r="S528" s="27"/>
      <c r="T528" s="363">
        <v>500000</v>
      </c>
      <c r="U528" s="463"/>
      <c r="V528" s="462"/>
      <c r="W528" s="190"/>
      <c r="X528" s="371"/>
      <c r="Y528" s="262"/>
    </row>
    <row r="529" spans="1:25" x14ac:dyDescent="0.15">
      <c r="A529" s="164"/>
      <c r="B529" s="165"/>
      <c r="C529" s="282"/>
      <c r="D529" s="44"/>
      <c r="E529" s="41"/>
      <c r="F529" s="41"/>
      <c r="G529" s="220">
        <f t="shared" si="75"/>
        <v>0</v>
      </c>
      <c r="H529" s="220">
        <f t="shared" si="76"/>
        <v>0</v>
      </c>
      <c r="I529" s="41">
        <f t="shared" si="77"/>
        <v>0</v>
      </c>
      <c r="J529" s="41">
        <f t="shared" si="78"/>
        <v>0</v>
      </c>
      <c r="K529" s="41">
        <f t="shared" si="79"/>
        <v>0</v>
      </c>
      <c r="L529" s="12"/>
      <c r="M529" s="41"/>
      <c r="N529" s="162">
        <f t="shared" si="80"/>
        <v>0</v>
      </c>
      <c r="O529" s="41">
        <v>0</v>
      </c>
      <c r="P529" s="41">
        <f t="shared" si="81"/>
        <v>0</v>
      </c>
      <c r="Q529" s="164"/>
      <c r="R529" s="359"/>
      <c r="S529" s="27"/>
      <c r="T529" s="363"/>
      <c r="U529" s="463"/>
      <c r="V529" s="462"/>
      <c r="W529" s="190"/>
      <c r="X529" s="371"/>
      <c r="Y529" s="262"/>
    </row>
    <row r="530" spans="1:25" x14ac:dyDescent="0.15">
      <c r="A530" s="164"/>
      <c r="B530" s="165"/>
      <c r="C530" s="282"/>
      <c r="D530" s="44"/>
      <c r="E530" s="41"/>
      <c r="F530" s="41"/>
      <c r="G530" s="220">
        <f t="shared" si="75"/>
        <v>0</v>
      </c>
      <c r="H530" s="220">
        <f t="shared" si="76"/>
        <v>0</v>
      </c>
      <c r="I530" s="41">
        <f t="shared" si="77"/>
        <v>0</v>
      </c>
      <c r="J530" s="41">
        <f t="shared" si="78"/>
        <v>0</v>
      </c>
      <c r="K530" s="41">
        <f t="shared" si="79"/>
        <v>0</v>
      </c>
      <c r="L530" s="12"/>
      <c r="M530" s="41"/>
      <c r="N530" s="162">
        <f t="shared" si="80"/>
        <v>0</v>
      </c>
      <c r="O530" s="41">
        <v>0</v>
      </c>
      <c r="P530" s="41">
        <f t="shared" si="81"/>
        <v>0</v>
      </c>
      <c r="Q530" s="164"/>
      <c r="R530" s="359"/>
      <c r="S530" s="27"/>
      <c r="T530" s="363"/>
      <c r="U530" s="463"/>
      <c r="V530" s="462"/>
      <c r="W530" s="190"/>
      <c r="X530" s="371"/>
      <c r="Y530" s="262"/>
    </row>
    <row r="531" spans="1:25" x14ac:dyDescent="0.25">
      <c r="A531" s="164"/>
      <c r="B531" s="165"/>
      <c r="C531" s="282"/>
      <c r="D531" s="44"/>
      <c r="E531" s="41"/>
      <c r="F531" s="41"/>
      <c r="G531" s="220">
        <f t="shared" si="75"/>
        <v>0</v>
      </c>
      <c r="H531" s="220">
        <f t="shared" si="76"/>
        <v>0</v>
      </c>
      <c r="I531" s="41">
        <f t="shared" si="77"/>
        <v>0</v>
      </c>
      <c r="J531" s="41">
        <f t="shared" si="78"/>
        <v>0</v>
      </c>
      <c r="K531" s="41">
        <f t="shared" si="79"/>
        <v>0</v>
      </c>
      <c r="L531" s="12"/>
      <c r="M531" s="41"/>
      <c r="N531" s="162">
        <f t="shared" si="80"/>
        <v>0</v>
      </c>
      <c r="O531" s="41">
        <v>0</v>
      </c>
      <c r="P531" s="41">
        <f t="shared" si="81"/>
        <v>0</v>
      </c>
      <c r="Q531" s="164"/>
      <c r="R531" s="359"/>
      <c r="S531" s="27"/>
      <c r="T531" s="363"/>
      <c r="U531" s="463"/>
      <c r="V531" s="465"/>
      <c r="W531" s="190"/>
      <c r="X531" s="371"/>
      <c r="Y531" s="262"/>
    </row>
    <row r="532" spans="1:25" x14ac:dyDescent="0.25">
      <c r="A532" s="421">
        <v>70334</v>
      </c>
      <c r="B532" s="422"/>
      <c r="C532" s="423"/>
      <c r="D532" s="424"/>
      <c r="E532" s="425"/>
      <c r="F532" s="425"/>
      <c r="G532" s="425">
        <f t="shared" si="75"/>
        <v>0</v>
      </c>
      <c r="H532" s="425">
        <f t="shared" si="76"/>
        <v>0</v>
      </c>
      <c r="I532" s="425">
        <f t="shared" si="77"/>
        <v>0</v>
      </c>
      <c r="J532" s="425">
        <f t="shared" si="78"/>
        <v>0</v>
      </c>
      <c r="K532" s="425">
        <f t="shared" si="79"/>
        <v>0</v>
      </c>
      <c r="L532" s="425"/>
      <c r="M532" s="425"/>
      <c r="N532" s="426">
        <f t="shared" si="80"/>
        <v>0</v>
      </c>
      <c r="O532" s="425">
        <v>0</v>
      </c>
      <c r="P532" s="425">
        <f t="shared" si="81"/>
        <v>0</v>
      </c>
      <c r="Q532" s="421">
        <v>70334</v>
      </c>
      <c r="R532" s="427"/>
      <c r="S532" s="428"/>
      <c r="T532" s="429"/>
      <c r="U532" s="466"/>
      <c r="V532" s="467"/>
      <c r="W532" s="431"/>
      <c r="X532" s="371"/>
      <c r="Y532" s="262"/>
    </row>
    <row r="533" spans="1:25" ht="42.75" x14ac:dyDescent="0.15">
      <c r="A533" s="164"/>
      <c r="B533" s="42" t="s">
        <v>937</v>
      </c>
      <c r="C533" s="282"/>
      <c r="D533" s="44"/>
      <c r="E533" s="41"/>
      <c r="F533" s="41"/>
      <c r="G533" s="220">
        <f t="shared" si="75"/>
        <v>0</v>
      </c>
      <c r="H533" s="220">
        <f t="shared" si="76"/>
        <v>0</v>
      </c>
      <c r="I533" s="41">
        <f t="shared" si="77"/>
        <v>0</v>
      </c>
      <c r="J533" s="41">
        <f t="shared" si="78"/>
        <v>0</v>
      </c>
      <c r="K533" s="41">
        <f t="shared" si="79"/>
        <v>0</v>
      </c>
      <c r="L533" s="12"/>
      <c r="M533" s="41"/>
      <c r="N533" s="162">
        <f t="shared" si="80"/>
        <v>0</v>
      </c>
      <c r="O533" s="41">
        <v>0</v>
      </c>
      <c r="P533" s="41">
        <f t="shared" si="81"/>
        <v>0</v>
      </c>
      <c r="Q533" s="164"/>
      <c r="R533" s="359"/>
      <c r="S533" s="27"/>
      <c r="T533" s="356">
        <v>500000</v>
      </c>
      <c r="U533" s="185">
        <v>495000</v>
      </c>
      <c r="V533" s="462" t="s">
        <v>918</v>
      </c>
      <c r="W533" s="190"/>
      <c r="X533" s="371"/>
      <c r="Y533" s="262"/>
    </row>
    <row r="534" spans="1:25" x14ac:dyDescent="0.15">
      <c r="A534" s="164"/>
      <c r="B534" s="165"/>
      <c r="C534" s="282"/>
      <c r="D534" s="44"/>
      <c r="E534" s="41"/>
      <c r="F534" s="41"/>
      <c r="G534" s="220">
        <f t="shared" si="75"/>
        <v>0</v>
      </c>
      <c r="H534" s="220">
        <f t="shared" si="76"/>
        <v>0</v>
      </c>
      <c r="I534" s="41">
        <f t="shared" si="77"/>
        <v>0</v>
      </c>
      <c r="J534" s="41">
        <f t="shared" si="78"/>
        <v>0</v>
      </c>
      <c r="K534" s="41">
        <f t="shared" si="79"/>
        <v>0</v>
      </c>
      <c r="L534" s="12"/>
      <c r="M534" s="41"/>
      <c r="N534" s="162">
        <f t="shared" si="80"/>
        <v>0</v>
      </c>
      <c r="O534" s="41">
        <v>0</v>
      </c>
      <c r="P534" s="41">
        <f t="shared" si="81"/>
        <v>0</v>
      </c>
      <c r="Q534" s="164"/>
      <c r="R534" s="359"/>
      <c r="S534" s="27"/>
      <c r="T534" s="363">
        <v>1000000</v>
      </c>
      <c r="U534" s="463">
        <v>999000</v>
      </c>
      <c r="V534" s="462" t="s">
        <v>919</v>
      </c>
      <c r="W534" s="190"/>
      <c r="X534" s="371"/>
      <c r="Y534" s="262"/>
    </row>
    <row r="535" spans="1:25" x14ac:dyDescent="0.15">
      <c r="A535" s="164"/>
      <c r="B535" s="165"/>
      <c r="C535" s="282"/>
      <c r="D535" s="44"/>
      <c r="E535" s="41"/>
      <c r="F535" s="41"/>
      <c r="G535" s="220">
        <f t="shared" si="75"/>
        <v>0</v>
      </c>
      <c r="H535" s="220">
        <f t="shared" si="76"/>
        <v>0</v>
      </c>
      <c r="I535" s="41">
        <f t="shared" si="77"/>
        <v>0</v>
      </c>
      <c r="J535" s="41">
        <f t="shared" si="78"/>
        <v>0</v>
      </c>
      <c r="K535" s="41">
        <f t="shared" si="79"/>
        <v>0</v>
      </c>
      <c r="L535" s="12"/>
      <c r="M535" s="41"/>
      <c r="N535" s="162">
        <f t="shared" si="80"/>
        <v>0</v>
      </c>
      <c r="O535" s="41">
        <v>0</v>
      </c>
      <c r="P535" s="41">
        <f t="shared" si="81"/>
        <v>0</v>
      </c>
      <c r="Q535" s="164"/>
      <c r="R535" s="359"/>
      <c r="S535" s="27"/>
      <c r="T535" s="363">
        <v>1000000</v>
      </c>
      <c r="U535" s="463"/>
      <c r="V535" s="462"/>
      <c r="W535" s="190"/>
      <c r="X535" s="371"/>
      <c r="Y535" s="262"/>
    </row>
    <row r="536" spans="1:25" x14ac:dyDescent="0.15">
      <c r="A536" s="164"/>
      <c r="B536" s="165"/>
      <c r="C536" s="282"/>
      <c r="D536" s="44"/>
      <c r="E536" s="41"/>
      <c r="F536" s="41"/>
      <c r="G536" s="220">
        <f t="shared" si="75"/>
        <v>0</v>
      </c>
      <c r="H536" s="220">
        <f t="shared" si="76"/>
        <v>0</v>
      </c>
      <c r="I536" s="41">
        <f t="shared" si="77"/>
        <v>0</v>
      </c>
      <c r="J536" s="41">
        <f t="shared" si="78"/>
        <v>0</v>
      </c>
      <c r="K536" s="41">
        <f t="shared" si="79"/>
        <v>0</v>
      </c>
      <c r="L536" s="12"/>
      <c r="M536" s="41"/>
      <c r="N536" s="162">
        <f t="shared" si="80"/>
        <v>0</v>
      </c>
      <c r="O536" s="41">
        <v>0</v>
      </c>
      <c r="P536" s="41">
        <f t="shared" si="81"/>
        <v>0</v>
      </c>
      <c r="Q536" s="164"/>
      <c r="R536" s="359"/>
      <c r="S536" s="27"/>
      <c r="T536" s="363"/>
      <c r="U536" s="463"/>
      <c r="V536" s="462"/>
      <c r="W536" s="190"/>
      <c r="X536" s="371"/>
      <c r="Y536" s="262"/>
    </row>
    <row r="537" spans="1:25" x14ac:dyDescent="0.25">
      <c r="A537" s="164"/>
      <c r="B537" s="165"/>
      <c r="C537" s="282"/>
      <c r="D537" s="44"/>
      <c r="E537" s="41"/>
      <c r="F537" s="41"/>
      <c r="G537" s="220">
        <f t="shared" si="75"/>
        <v>0</v>
      </c>
      <c r="H537" s="220">
        <f t="shared" si="76"/>
        <v>0</v>
      </c>
      <c r="I537" s="41">
        <f t="shared" si="77"/>
        <v>0</v>
      </c>
      <c r="J537" s="41">
        <f t="shared" si="78"/>
        <v>0</v>
      </c>
      <c r="K537" s="41">
        <f t="shared" si="79"/>
        <v>0</v>
      </c>
      <c r="L537" s="12"/>
      <c r="M537" s="41"/>
      <c r="N537" s="162">
        <f t="shared" si="80"/>
        <v>0</v>
      </c>
      <c r="O537" s="41">
        <v>0</v>
      </c>
      <c r="P537" s="41">
        <f t="shared" si="81"/>
        <v>0</v>
      </c>
      <c r="Q537" s="164"/>
      <c r="R537" s="359"/>
      <c r="S537" s="27"/>
      <c r="T537" s="363"/>
      <c r="U537" s="365"/>
      <c r="V537" s="369"/>
      <c r="W537" s="37"/>
      <c r="X537" s="371"/>
      <c r="Y537" s="262"/>
    </row>
    <row r="538" spans="1:25" x14ac:dyDescent="0.25">
      <c r="A538" s="421">
        <v>70235</v>
      </c>
      <c r="B538" s="422"/>
      <c r="C538" s="423"/>
      <c r="D538" s="424"/>
      <c r="E538" s="425"/>
      <c r="F538" s="425"/>
      <c r="G538" s="425">
        <f t="shared" si="75"/>
        <v>0</v>
      </c>
      <c r="H538" s="425">
        <f t="shared" si="76"/>
        <v>0</v>
      </c>
      <c r="I538" s="425">
        <f t="shared" si="77"/>
        <v>0</v>
      </c>
      <c r="J538" s="425">
        <f t="shared" si="78"/>
        <v>0</v>
      </c>
      <c r="K538" s="425">
        <f t="shared" si="79"/>
        <v>0</v>
      </c>
      <c r="L538" s="425"/>
      <c r="M538" s="425"/>
      <c r="N538" s="426">
        <f t="shared" si="80"/>
        <v>0</v>
      </c>
      <c r="O538" s="425">
        <v>0</v>
      </c>
      <c r="P538" s="425">
        <f t="shared" si="81"/>
        <v>0</v>
      </c>
      <c r="Q538" s="421">
        <v>70235</v>
      </c>
      <c r="R538" s="427"/>
      <c r="S538" s="428"/>
      <c r="T538" s="429"/>
      <c r="U538" s="461"/>
      <c r="V538" s="430"/>
      <c r="W538" s="431"/>
      <c r="X538" s="371"/>
      <c r="Y538" s="262"/>
    </row>
    <row r="539" spans="1:25" ht="42.75" x14ac:dyDescent="0.15">
      <c r="A539" s="164"/>
      <c r="B539" s="42" t="s">
        <v>938</v>
      </c>
      <c r="C539" s="282"/>
      <c r="D539" s="44"/>
      <c r="E539" s="41"/>
      <c r="F539" s="41"/>
      <c r="G539" s="220">
        <f t="shared" si="75"/>
        <v>0</v>
      </c>
      <c r="H539" s="220">
        <f t="shared" si="76"/>
        <v>0</v>
      </c>
      <c r="I539" s="41">
        <f t="shared" si="77"/>
        <v>0</v>
      </c>
      <c r="J539" s="41">
        <f t="shared" si="78"/>
        <v>0</v>
      </c>
      <c r="K539" s="41">
        <f t="shared" si="79"/>
        <v>0</v>
      </c>
      <c r="L539" s="12"/>
      <c r="M539" s="41"/>
      <c r="N539" s="162">
        <f t="shared" si="80"/>
        <v>0</v>
      </c>
      <c r="O539" s="41">
        <v>0</v>
      </c>
      <c r="P539" s="41">
        <f t="shared" si="81"/>
        <v>0</v>
      </c>
      <c r="Q539" s="164"/>
      <c r="R539" s="359"/>
      <c r="S539" s="27"/>
      <c r="T539" s="356">
        <v>1500000</v>
      </c>
      <c r="U539" s="185">
        <v>1485000</v>
      </c>
      <c r="V539" s="462" t="s">
        <v>920</v>
      </c>
      <c r="W539" s="190"/>
      <c r="X539" s="371"/>
      <c r="Y539" s="262"/>
    </row>
    <row r="540" spans="1:25" x14ac:dyDescent="0.15">
      <c r="A540" s="164"/>
      <c r="B540" s="165"/>
      <c r="C540" s="282"/>
      <c r="D540" s="44"/>
      <c r="E540" s="41"/>
      <c r="F540" s="41"/>
      <c r="G540" s="220">
        <f t="shared" si="75"/>
        <v>0</v>
      </c>
      <c r="H540" s="220">
        <f t="shared" si="76"/>
        <v>0</v>
      </c>
      <c r="I540" s="41">
        <f t="shared" si="77"/>
        <v>0</v>
      </c>
      <c r="J540" s="41">
        <f t="shared" si="78"/>
        <v>0</v>
      </c>
      <c r="K540" s="41">
        <f t="shared" si="79"/>
        <v>0</v>
      </c>
      <c r="L540" s="12"/>
      <c r="M540" s="41"/>
      <c r="N540" s="162">
        <f t="shared" si="80"/>
        <v>0</v>
      </c>
      <c r="O540" s="41">
        <v>0</v>
      </c>
      <c r="P540" s="41">
        <f t="shared" si="81"/>
        <v>0</v>
      </c>
      <c r="Q540" s="164"/>
      <c r="R540" s="359"/>
      <c r="S540" s="27"/>
      <c r="T540" s="363">
        <v>500000</v>
      </c>
      <c r="U540" s="185">
        <v>495000</v>
      </c>
      <c r="V540" s="462" t="s">
        <v>921</v>
      </c>
      <c r="W540" s="190"/>
      <c r="X540" s="371"/>
      <c r="Y540" s="262"/>
    </row>
    <row r="541" spans="1:25" x14ac:dyDescent="0.15">
      <c r="A541" s="164"/>
      <c r="B541" s="165"/>
      <c r="C541" s="282"/>
      <c r="D541" s="44"/>
      <c r="E541" s="41"/>
      <c r="F541" s="41"/>
      <c r="G541" s="220">
        <f t="shared" si="75"/>
        <v>0</v>
      </c>
      <c r="H541" s="220">
        <f t="shared" si="76"/>
        <v>0</v>
      </c>
      <c r="I541" s="41">
        <f t="shared" si="77"/>
        <v>0</v>
      </c>
      <c r="J541" s="41">
        <f t="shared" si="78"/>
        <v>0</v>
      </c>
      <c r="K541" s="41">
        <f t="shared" si="79"/>
        <v>0</v>
      </c>
      <c r="L541" s="12"/>
      <c r="M541" s="41"/>
      <c r="N541" s="162">
        <f t="shared" si="80"/>
        <v>0</v>
      </c>
      <c r="O541" s="41">
        <v>0</v>
      </c>
      <c r="P541" s="41">
        <f t="shared" si="81"/>
        <v>0</v>
      </c>
      <c r="Q541" s="164"/>
      <c r="R541" s="359"/>
      <c r="S541" s="27"/>
      <c r="T541" s="363">
        <v>500000</v>
      </c>
      <c r="U541" s="185">
        <v>495000</v>
      </c>
      <c r="V541" s="462" t="s">
        <v>922</v>
      </c>
      <c r="W541" s="190"/>
      <c r="X541" s="371"/>
      <c r="Y541" s="262"/>
    </row>
    <row r="542" spans="1:25" x14ac:dyDescent="0.15">
      <c r="A542" s="164"/>
      <c r="B542" s="165"/>
      <c r="C542" s="282"/>
      <c r="D542" s="44"/>
      <c r="E542" s="41"/>
      <c r="F542" s="41"/>
      <c r="G542" s="220">
        <f t="shared" si="75"/>
        <v>0</v>
      </c>
      <c r="H542" s="220">
        <f t="shared" si="76"/>
        <v>0</v>
      </c>
      <c r="I542" s="41">
        <f t="shared" si="77"/>
        <v>0</v>
      </c>
      <c r="J542" s="41">
        <f t="shared" si="78"/>
        <v>0</v>
      </c>
      <c r="K542" s="41">
        <f t="shared" si="79"/>
        <v>0</v>
      </c>
      <c r="L542" s="12"/>
      <c r="M542" s="41"/>
      <c r="N542" s="162">
        <f t="shared" si="80"/>
        <v>0</v>
      </c>
      <c r="O542" s="41">
        <v>0</v>
      </c>
      <c r="P542" s="41">
        <f t="shared" si="81"/>
        <v>0</v>
      </c>
      <c r="Q542" s="164"/>
      <c r="R542" s="359"/>
      <c r="S542" s="27"/>
      <c r="T542" s="363"/>
      <c r="U542" s="463"/>
      <c r="V542" s="462"/>
      <c r="W542" s="190"/>
      <c r="X542" s="371"/>
      <c r="Y542" s="262"/>
    </row>
    <row r="543" spans="1:25" x14ac:dyDescent="0.25">
      <c r="A543" s="164"/>
      <c r="B543" s="165"/>
      <c r="C543" s="282"/>
      <c r="D543" s="44"/>
      <c r="E543" s="41"/>
      <c r="F543" s="41"/>
      <c r="G543" s="220">
        <f t="shared" si="75"/>
        <v>0</v>
      </c>
      <c r="H543" s="220">
        <f t="shared" si="76"/>
        <v>0</v>
      </c>
      <c r="I543" s="41">
        <f t="shared" si="77"/>
        <v>0</v>
      </c>
      <c r="J543" s="41">
        <f t="shared" si="78"/>
        <v>0</v>
      </c>
      <c r="K543" s="41">
        <f t="shared" si="79"/>
        <v>0</v>
      </c>
      <c r="L543" s="12"/>
      <c r="M543" s="41"/>
      <c r="N543" s="162">
        <f t="shared" si="80"/>
        <v>0</v>
      </c>
      <c r="O543" s="41">
        <v>0</v>
      </c>
      <c r="P543" s="41">
        <f t="shared" si="81"/>
        <v>0</v>
      </c>
      <c r="Q543" s="164"/>
      <c r="R543" s="359"/>
      <c r="S543" s="27"/>
      <c r="T543" s="363"/>
      <c r="U543" s="463"/>
      <c r="V543" s="465"/>
      <c r="W543" s="190"/>
      <c r="X543" s="371"/>
      <c r="Y543" s="262"/>
    </row>
    <row r="544" spans="1:25" x14ac:dyDescent="0.25">
      <c r="A544" s="421">
        <v>70129</v>
      </c>
      <c r="B544" s="422"/>
      <c r="C544" s="423"/>
      <c r="D544" s="424"/>
      <c r="E544" s="425"/>
      <c r="F544" s="425"/>
      <c r="G544" s="425">
        <f t="shared" si="75"/>
        <v>0</v>
      </c>
      <c r="H544" s="425">
        <f t="shared" si="76"/>
        <v>0</v>
      </c>
      <c r="I544" s="425">
        <f t="shared" si="77"/>
        <v>0</v>
      </c>
      <c r="J544" s="425">
        <f t="shared" si="78"/>
        <v>0</v>
      </c>
      <c r="K544" s="425">
        <f t="shared" si="79"/>
        <v>0</v>
      </c>
      <c r="L544" s="425"/>
      <c r="M544" s="425"/>
      <c r="N544" s="426">
        <f t="shared" si="80"/>
        <v>0</v>
      </c>
      <c r="O544" s="425">
        <v>0</v>
      </c>
      <c r="P544" s="425">
        <f t="shared" si="81"/>
        <v>0</v>
      </c>
      <c r="Q544" s="421">
        <v>70129</v>
      </c>
      <c r="R544" s="427"/>
      <c r="S544" s="428"/>
      <c r="T544" s="429"/>
      <c r="U544" s="466"/>
      <c r="V544" s="467"/>
      <c r="W544" s="431"/>
      <c r="X544" s="371"/>
      <c r="Y544" s="262"/>
    </row>
    <row r="545" spans="1:25" ht="42.75" x14ac:dyDescent="0.15">
      <c r="A545" s="164"/>
      <c r="B545" s="42" t="s">
        <v>939</v>
      </c>
      <c r="C545" s="282"/>
      <c r="D545" s="44"/>
      <c r="E545" s="41"/>
      <c r="F545" s="41"/>
      <c r="G545" s="220">
        <f t="shared" si="75"/>
        <v>0</v>
      </c>
      <c r="H545" s="220">
        <f t="shared" si="76"/>
        <v>0</v>
      </c>
      <c r="I545" s="41">
        <f t="shared" si="77"/>
        <v>0</v>
      </c>
      <c r="J545" s="41">
        <f t="shared" si="78"/>
        <v>0</v>
      </c>
      <c r="K545" s="41">
        <f t="shared" si="79"/>
        <v>0</v>
      </c>
      <c r="L545" s="12"/>
      <c r="M545" s="41"/>
      <c r="N545" s="162">
        <f t="shared" si="80"/>
        <v>0</v>
      </c>
      <c r="O545" s="41">
        <v>0</v>
      </c>
      <c r="P545" s="41">
        <f t="shared" si="81"/>
        <v>0</v>
      </c>
      <c r="Q545" s="164"/>
      <c r="R545" s="359"/>
      <c r="S545" s="27"/>
      <c r="T545" s="356">
        <v>800000</v>
      </c>
      <c r="U545" s="185">
        <v>792000</v>
      </c>
      <c r="V545" s="462" t="s">
        <v>923</v>
      </c>
      <c r="W545" s="190"/>
      <c r="X545" s="371"/>
      <c r="Y545" s="262"/>
    </row>
    <row r="546" spans="1:25" x14ac:dyDescent="0.15">
      <c r="A546" s="164"/>
      <c r="B546" s="165"/>
      <c r="C546" s="282"/>
      <c r="D546" s="44"/>
      <c r="E546" s="41"/>
      <c r="F546" s="41"/>
      <c r="G546" s="220">
        <f t="shared" si="75"/>
        <v>0</v>
      </c>
      <c r="H546" s="220">
        <f t="shared" si="76"/>
        <v>0</v>
      </c>
      <c r="I546" s="41">
        <f t="shared" si="77"/>
        <v>0</v>
      </c>
      <c r="J546" s="41">
        <f t="shared" si="78"/>
        <v>0</v>
      </c>
      <c r="K546" s="41">
        <f t="shared" si="79"/>
        <v>0</v>
      </c>
      <c r="L546" s="12"/>
      <c r="M546" s="41"/>
      <c r="N546" s="162">
        <f t="shared" si="80"/>
        <v>0</v>
      </c>
      <c r="O546" s="41">
        <v>0</v>
      </c>
      <c r="P546" s="41">
        <f t="shared" si="81"/>
        <v>0</v>
      </c>
      <c r="Q546" s="164"/>
      <c r="R546" s="359"/>
      <c r="S546" s="27"/>
      <c r="T546" s="363">
        <v>500000</v>
      </c>
      <c r="U546" s="463">
        <v>495000</v>
      </c>
      <c r="V546" s="462" t="s">
        <v>924</v>
      </c>
      <c r="W546" s="190"/>
      <c r="X546" s="371"/>
      <c r="Y546" s="262"/>
    </row>
    <row r="547" spans="1:25" x14ac:dyDescent="0.15">
      <c r="A547" s="164"/>
      <c r="B547" s="165"/>
      <c r="C547" s="282"/>
      <c r="D547" s="44"/>
      <c r="E547" s="41"/>
      <c r="F547" s="41"/>
      <c r="G547" s="220">
        <f t="shared" si="75"/>
        <v>0</v>
      </c>
      <c r="H547" s="220">
        <f t="shared" si="76"/>
        <v>0</v>
      </c>
      <c r="I547" s="41">
        <f t="shared" si="77"/>
        <v>0</v>
      </c>
      <c r="J547" s="41">
        <f t="shared" si="78"/>
        <v>0</v>
      </c>
      <c r="K547" s="41">
        <f t="shared" si="79"/>
        <v>0</v>
      </c>
      <c r="L547" s="12"/>
      <c r="M547" s="41"/>
      <c r="N547" s="162">
        <f t="shared" si="80"/>
        <v>0</v>
      </c>
      <c r="O547" s="41">
        <v>0</v>
      </c>
      <c r="P547" s="41">
        <f t="shared" si="81"/>
        <v>0</v>
      </c>
      <c r="Q547" s="164"/>
      <c r="R547" s="359"/>
      <c r="S547" s="27"/>
      <c r="T547" s="363">
        <v>500000</v>
      </c>
      <c r="U547" s="463">
        <v>495000</v>
      </c>
      <c r="V547" s="462" t="s">
        <v>925</v>
      </c>
      <c r="W547" s="190"/>
      <c r="X547" s="371"/>
      <c r="Y547" s="262"/>
    </row>
    <row r="548" spans="1:25" x14ac:dyDescent="0.15">
      <c r="A548" s="164"/>
      <c r="B548" s="165"/>
      <c r="C548" s="282"/>
      <c r="D548" s="44"/>
      <c r="E548" s="41"/>
      <c r="F548" s="41"/>
      <c r="G548" s="220">
        <f t="shared" si="75"/>
        <v>0</v>
      </c>
      <c r="H548" s="220">
        <f t="shared" si="76"/>
        <v>0</v>
      </c>
      <c r="I548" s="41">
        <f t="shared" si="77"/>
        <v>0</v>
      </c>
      <c r="J548" s="41">
        <f t="shared" si="78"/>
        <v>0</v>
      </c>
      <c r="K548" s="41">
        <f t="shared" si="79"/>
        <v>0</v>
      </c>
      <c r="L548" s="12"/>
      <c r="M548" s="41"/>
      <c r="N548" s="162">
        <f t="shared" si="80"/>
        <v>0</v>
      </c>
      <c r="O548" s="41">
        <v>0</v>
      </c>
      <c r="P548" s="41">
        <f t="shared" si="81"/>
        <v>0</v>
      </c>
      <c r="Q548" s="164"/>
      <c r="R548" s="359"/>
      <c r="S548" s="27"/>
      <c r="T548" s="363">
        <v>500000</v>
      </c>
      <c r="U548" s="463">
        <v>495000</v>
      </c>
      <c r="V548" s="462" t="s">
        <v>926</v>
      </c>
      <c r="W548" s="190"/>
      <c r="X548" s="371"/>
      <c r="Y548" s="262"/>
    </row>
    <row r="549" spans="1:25" x14ac:dyDescent="0.15">
      <c r="A549" s="164"/>
      <c r="B549" s="165"/>
      <c r="C549" s="282"/>
      <c r="D549" s="44"/>
      <c r="E549" s="41"/>
      <c r="F549" s="41"/>
      <c r="G549" s="220">
        <f t="shared" si="75"/>
        <v>0</v>
      </c>
      <c r="H549" s="220">
        <f t="shared" si="76"/>
        <v>0</v>
      </c>
      <c r="I549" s="41">
        <f t="shared" si="77"/>
        <v>0</v>
      </c>
      <c r="J549" s="41">
        <f t="shared" si="78"/>
        <v>0</v>
      </c>
      <c r="K549" s="41">
        <f t="shared" si="79"/>
        <v>0</v>
      </c>
      <c r="L549" s="12"/>
      <c r="M549" s="41"/>
      <c r="N549" s="162">
        <f t="shared" si="80"/>
        <v>0</v>
      </c>
      <c r="O549" s="41">
        <v>0</v>
      </c>
      <c r="P549" s="41">
        <f t="shared" si="81"/>
        <v>0</v>
      </c>
      <c r="Q549" s="164"/>
      <c r="R549" s="359"/>
      <c r="S549" s="27"/>
      <c r="T549" s="363">
        <v>1000000</v>
      </c>
      <c r="U549" s="463">
        <v>9900000</v>
      </c>
      <c r="V549" s="462" t="s">
        <v>927</v>
      </c>
      <c r="W549" s="190"/>
      <c r="X549" s="371"/>
      <c r="Y549" s="262"/>
    </row>
    <row r="550" spans="1:25" x14ac:dyDescent="0.15">
      <c r="A550" s="164"/>
      <c r="B550" s="165"/>
      <c r="C550" s="282"/>
      <c r="D550" s="44"/>
      <c r="E550" s="41"/>
      <c r="F550" s="41"/>
      <c r="G550" s="220"/>
      <c r="H550" s="220"/>
      <c r="I550" s="41"/>
      <c r="J550" s="41"/>
      <c r="K550" s="41"/>
      <c r="L550" s="12"/>
      <c r="M550" s="41"/>
      <c r="N550" s="162"/>
      <c r="O550" s="41"/>
      <c r="P550" s="41"/>
      <c r="Q550" s="164"/>
      <c r="R550" s="359"/>
      <c r="S550" s="27"/>
      <c r="T550" s="363">
        <v>400000</v>
      </c>
      <c r="U550" s="463">
        <v>396000</v>
      </c>
      <c r="V550" s="462" t="s">
        <v>928</v>
      </c>
      <c r="W550" s="190"/>
      <c r="X550" s="371"/>
      <c r="Y550" s="262"/>
    </row>
    <row r="551" spans="1:25" x14ac:dyDescent="0.25">
      <c r="A551" s="421"/>
      <c r="B551" s="422"/>
      <c r="C551" s="423"/>
      <c r="D551" s="424"/>
      <c r="E551" s="425"/>
      <c r="F551" s="425"/>
      <c r="G551" s="425">
        <f t="shared" ref="G551:G556" si="82">E551-F551</f>
        <v>0</v>
      </c>
      <c r="H551" s="425">
        <f t="shared" ref="H551:H556" si="83">G551*18%</f>
        <v>0</v>
      </c>
      <c r="I551" s="425">
        <f t="shared" ref="I551:I556" si="84">G551+H551</f>
        <v>0</v>
      </c>
      <c r="J551" s="425">
        <f t="shared" ref="J551:J556" si="85">G551*1%</f>
        <v>0</v>
      </c>
      <c r="K551" s="425">
        <f t="shared" ref="K551:K556" si="86">G551*5%</f>
        <v>0</v>
      </c>
      <c r="L551" s="425"/>
      <c r="M551" s="425"/>
      <c r="N551" s="426">
        <f t="shared" ref="N551:N556" si="87">H551</f>
        <v>0</v>
      </c>
      <c r="O551" s="425">
        <v>0</v>
      </c>
      <c r="P551" s="425">
        <f t="shared" ref="P551:P556" si="88">I551-SUM(J551:O551)</f>
        <v>0</v>
      </c>
      <c r="Q551" s="421">
        <v>70464</v>
      </c>
      <c r="R551" s="427"/>
      <c r="S551" s="428"/>
      <c r="T551" s="429"/>
      <c r="U551" s="464"/>
      <c r="V551" s="430"/>
      <c r="W551" s="431"/>
      <c r="X551" s="371"/>
      <c r="Y551" s="262"/>
    </row>
    <row r="552" spans="1:25" x14ac:dyDescent="0.15">
      <c r="A552" s="164"/>
      <c r="B552" s="42"/>
      <c r="C552" s="282"/>
      <c r="D552" s="44"/>
      <c r="E552" s="41"/>
      <c r="F552" s="41"/>
      <c r="G552" s="220">
        <f t="shared" si="82"/>
        <v>0</v>
      </c>
      <c r="H552" s="220">
        <f t="shared" si="83"/>
        <v>0</v>
      </c>
      <c r="I552" s="41">
        <f t="shared" si="84"/>
        <v>0</v>
      </c>
      <c r="J552" s="41">
        <f t="shared" si="85"/>
        <v>0</v>
      </c>
      <c r="K552" s="41">
        <f t="shared" si="86"/>
        <v>0</v>
      </c>
      <c r="L552" s="12"/>
      <c r="M552" s="41"/>
      <c r="N552" s="162">
        <f t="shared" si="87"/>
        <v>0</v>
      </c>
      <c r="O552" s="41">
        <v>0</v>
      </c>
      <c r="P552" s="41">
        <f t="shared" si="88"/>
        <v>0</v>
      </c>
      <c r="Q552" s="164"/>
      <c r="R552" s="359"/>
      <c r="S552" s="27"/>
      <c r="T552" s="356"/>
      <c r="U552" s="185"/>
      <c r="V552" s="462"/>
      <c r="W552" s="190"/>
      <c r="X552" s="371"/>
      <c r="Y552" s="262"/>
    </row>
    <row r="553" spans="1:25" x14ac:dyDescent="0.15">
      <c r="A553" s="164"/>
      <c r="B553" s="165"/>
      <c r="C553" s="282"/>
      <c r="D553" s="44"/>
      <c r="E553" s="41"/>
      <c r="F553" s="41"/>
      <c r="G553" s="220">
        <f t="shared" si="82"/>
        <v>0</v>
      </c>
      <c r="H553" s="220">
        <f t="shared" si="83"/>
        <v>0</v>
      </c>
      <c r="I553" s="41">
        <f t="shared" si="84"/>
        <v>0</v>
      </c>
      <c r="J553" s="41">
        <f t="shared" si="85"/>
        <v>0</v>
      </c>
      <c r="K553" s="41">
        <f t="shared" si="86"/>
        <v>0</v>
      </c>
      <c r="L553" s="12"/>
      <c r="M553" s="41"/>
      <c r="N553" s="162">
        <f t="shared" si="87"/>
        <v>0</v>
      </c>
      <c r="O553" s="41">
        <v>0</v>
      </c>
      <c r="P553" s="41">
        <f t="shared" si="88"/>
        <v>0</v>
      </c>
      <c r="Q553" s="164"/>
      <c r="R553" s="359"/>
      <c r="S553" s="27"/>
      <c r="T553" s="363"/>
      <c r="U553" s="463"/>
      <c r="V553" s="462"/>
      <c r="W553" s="190"/>
      <c r="X553" s="371"/>
      <c r="Y553" s="262"/>
    </row>
    <row r="554" spans="1:25" x14ac:dyDescent="0.15">
      <c r="A554" s="164"/>
      <c r="B554" s="165"/>
      <c r="C554" s="282"/>
      <c r="D554" s="44"/>
      <c r="E554" s="41"/>
      <c r="F554" s="41"/>
      <c r="G554" s="220">
        <f t="shared" si="82"/>
        <v>0</v>
      </c>
      <c r="H554" s="220">
        <f t="shared" si="83"/>
        <v>0</v>
      </c>
      <c r="I554" s="41">
        <f t="shared" si="84"/>
        <v>0</v>
      </c>
      <c r="J554" s="41">
        <f t="shared" si="85"/>
        <v>0</v>
      </c>
      <c r="K554" s="41">
        <f t="shared" si="86"/>
        <v>0</v>
      </c>
      <c r="L554" s="12"/>
      <c r="M554" s="41"/>
      <c r="N554" s="162">
        <f t="shared" si="87"/>
        <v>0</v>
      </c>
      <c r="O554" s="41">
        <v>0</v>
      </c>
      <c r="P554" s="41">
        <f t="shared" si="88"/>
        <v>0</v>
      </c>
      <c r="Q554" s="164"/>
      <c r="R554" s="359"/>
      <c r="S554" s="27"/>
      <c r="T554" s="363"/>
      <c r="U554" s="463"/>
      <c r="V554" s="462"/>
      <c r="W554" s="190"/>
      <c r="X554" s="371"/>
      <c r="Y554" s="262"/>
    </row>
    <row r="555" spans="1:25" x14ac:dyDescent="0.15">
      <c r="A555" s="164"/>
      <c r="B555" s="165"/>
      <c r="C555" s="282"/>
      <c r="D555" s="44"/>
      <c r="E555" s="41"/>
      <c r="F555" s="41"/>
      <c r="G555" s="220">
        <f t="shared" si="82"/>
        <v>0</v>
      </c>
      <c r="H555" s="220">
        <f t="shared" si="83"/>
        <v>0</v>
      </c>
      <c r="I555" s="41">
        <f t="shared" si="84"/>
        <v>0</v>
      </c>
      <c r="J555" s="41">
        <f t="shared" si="85"/>
        <v>0</v>
      </c>
      <c r="K555" s="41">
        <f t="shared" si="86"/>
        <v>0</v>
      </c>
      <c r="L555" s="12"/>
      <c r="M555" s="41"/>
      <c r="N555" s="162">
        <f t="shared" si="87"/>
        <v>0</v>
      </c>
      <c r="O555" s="41">
        <v>0</v>
      </c>
      <c r="P555" s="41">
        <f t="shared" si="88"/>
        <v>0</v>
      </c>
      <c r="Q555" s="164"/>
      <c r="R555" s="359"/>
      <c r="S555" s="27"/>
      <c r="T555" s="363"/>
      <c r="U555" s="463"/>
      <c r="V555" s="462"/>
      <c r="W555" s="190"/>
      <c r="X555" s="371"/>
      <c r="Y555" s="262"/>
    </row>
    <row r="556" spans="1:25" x14ac:dyDescent="0.25">
      <c r="A556" s="164"/>
      <c r="B556" s="165"/>
      <c r="C556" s="282"/>
      <c r="D556" s="44"/>
      <c r="E556" s="41"/>
      <c r="F556" s="41"/>
      <c r="G556" s="220">
        <f t="shared" si="82"/>
        <v>0</v>
      </c>
      <c r="H556" s="220">
        <f t="shared" si="83"/>
        <v>0</v>
      </c>
      <c r="I556" s="41">
        <f t="shared" si="84"/>
        <v>0</v>
      </c>
      <c r="J556" s="41">
        <f t="shared" si="85"/>
        <v>0</v>
      </c>
      <c r="K556" s="41">
        <f t="shared" si="86"/>
        <v>0</v>
      </c>
      <c r="L556" s="12"/>
      <c r="M556" s="41"/>
      <c r="N556" s="162">
        <f t="shared" si="87"/>
        <v>0</v>
      </c>
      <c r="O556" s="41">
        <v>0</v>
      </c>
      <c r="P556" s="41">
        <f t="shared" si="88"/>
        <v>0</v>
      </c>
      <c r="Q556" s="164"/>
      <c r="R556" s="359"/>
      <c r="S556" s="27"/>
      <c r="T556" s="363"/>
      <c r="U556" s="365"/>
      <c r="V556" s="369"/>
      <c r="W556" s="37"/>
      <c r="X556" s="371"/>
      <c r="Y556" s="262"/>
    </row>
    <row r="557" spans="1:25" ht="15.75" thickBot="1" x14ac:dyDescent="0.3">
      <c r="A557" s="292"/>
      <c r="B557" s="293"/>
      <c r="C557" s="294"/>
      <c r="D557" s="375"/>
      <c r="E557" s="299"/>
      <c r="F557" s="299"/>
      <c r="G557" s="299"/>
      <c r="H557" s="299"/>
      <c r="I557" s="299"/>
      <c r="J557" s="346"/>
      <c r="K557" s="299"/>
      <c r="L557" s="346"/>
      <c r="M557" s="299"/>
      <c r="N557" s="299"/>
      <c r="O557" s="299"/>
      <c r="P557" s="346"/>
      <c r="Q557" s="300"/>
      <c r="R557" s="357"/>
      <c r="S557" s="259"/>
      <c r="T557" s="357"/>
      <c r="U557" s="260"/>
      <c r="V557" s="360"/>
      <c r="W557" s="259"/>
      <c r="X557" s="371"/>
      <c r="Y557" s="262"/>
    </row>
    <row r="558" spans="1:25" ht="15.75" thickBot="1" x14ac:dyDescent="0.3">
      <c r="A558" s="57"/>
      <c r="B558" s="81"/>
      <c r="C558" s="82"/>
      <c r="D558" s="288"/>
      <c r="E558" s="289">
        <f t="shared" ref="E558:O558" si="89">SUM(E7:E491)</f>
        <v>143780554.15600002</v>
      </c>
      <c r="F558" s="289">
        <f t="shared" si="89"/>
        <v>30538918.049999997</v>
      </c>
      <c r="G558" s="345">
        <f t="shared" si="89"/>
        <v>99237817.399999991</v>
      </c>
      <c r="H558" s="289">
        <f t="shared" si="89"/>
        <v>17862807.990399994</v>
      </c>
      <c r="I558" s="289">
        <f t="shared" si="89"/>
        <v>117100625.39040002</v>
      </c>
      <c r="J558" s="349">
        <f t="shared" si="89"/>
        <v>992111.54330000002</v>
      </c>
      <c r="K558" s="289">
        <f t="shared" si="89"/>
        <v>4960561.7415000005</v>
      </c>
      <c r="L558" s="349">
        <f t="shared" si="89"/>
        <v>0</v>
      </c>
      <c r="M558" s="289">
        <f t="shared" si="89"/>
        <v>3839962.2909999993</v>
      </c>
      <c r="N558" s="289">
        <f t="shared" si="89"/>
        <v>17864474.583999999</v>
      </c>
      <c r="O558" s="289">
        <f t="shared" si="89"/>
        <v>6934888.7023</v>
      </c>
      <c r="P558" s="353">
        <f>SUM(P7:P557)</f>
        <v>96858861.657900006</v>
      </c>
      <c r="Q558" s="291"/>
      <c r="R558" s="349">
        <f>SUM(R7:R491)-R376-R315-R283-R255-R240-R147-R137-R107-R409</f>
        <v>164194725</v>
      </c>
      <c r="S558" s="289">
        <f>SUM(S7:S491)</f>
        <v>-2887860</v>
      </c>
      <c r="T558" s="349">
        <f>SUM(T7:T556)</f>
        <v>189086960</v>
      </c>
      <c r="U558" s="290">
        <f>SUM(U7:U557)</f>
        <v>204230960</v>
      </c>
      <c r="V558" s="370"/>
      <c r="W558" s="37"/>
    </row>
    <row r="559" spans="1:25" ht="15.75" thickBot="1" x14ac:dyDescent="0.3">
      <c r="A559" s="77"/>
      <c r="B559" s="78"/>
      <c r="C559" s="78"/>
      <c r="D559" s="78"/>
      <c r="E559" s="78">
        <f>E410+E14+E180+E352+E360+E397+E390+E384++E378+E371+E363+E358+E342+E330+E322+E316+E308+E295+E290+E286+E278+E270+E263+E259+E248+E243+E232+E222+E214+E200+E190+E178+E170+E161+E153+E143+E131+E121+E108+E99+E85+E74+E63+E48+E37+E24+E12+E399+E280+E265+E250+E216+E163+E144+E110+E101+E75+E26+E433+E425+E417+E412+E392+E386+E379+E365+E350+E332+E318+E297+E272+E440+E448+E453</f>
        <v>14039689.726</v>
      </c>
      <c r="F559" s="78"/>
      <c r="G559" s="344">
        <v>13318134.3028</v>
      </c>
      <c r="H559" s="78"/>
      <c r="I559" s="78"/>
      <c r="J559" s="350"/>
      <c r="K559" s="78"/>
      <c r="L559" s="350"/>
      <c r="M559" s="78"/>
      <c r="N559" s="77"/>
      <c r="O559" s="77"/>
      <c r="P559" s="354"/>
      <c r="Q559" s="178"/>
      <c r="R559" s="354"/>
      <c r="S559" s="77"/>
      <c r="T559" s="354"/>
      <c r="U559" s="160">
        <f>P558-U558</f>
        <v>-107372098.34209999</v>
      </c>
      <c r="V559" s="350"/>
      <c r="W559" s="80">
        <f>SUM(W7:W556)</f>
        <v>-78996383.163599998</v>
      </c>
    </row>
    <row r="560" spans="1:25" ht="15.75" thickBot="1" x14ac:dyDescent="0.3">
      <c r="E560" s="7">
        <f>E558-E559</f>
        <v>129740864.43000002</v>
      </c>
      <c r="G560" s="7">
        <f>G559+G558</f>
        <v>112555951.70279999</v>
      </c>
      <c r="U560" s="111">
        <f>P558-T558</f>
        <v>-92228098.342099994</v>
      </c>
      <c r="W560" s="372"/>
    </row>
    <row r="561" spans="6:20" ht="23.25" thickBot="1" x14ac:dyDescent="0.3">
      <c r="L561" s="448" t="s">
        <v>707</v>
      </c>
      <c r="M561" s="449"/>
      <c r="N561" s="449"/>
      <c r="O561" s="450"/>
      <c r="R561" s="7">
        <f>R558-T558</f>
        <v>-24892235</v>
      </c>
    </row>
    <row r="562" spans="6:20" ht="20.25" thickBot="1" x14ac:dyDescent="0.3">
      <c r="L562" s="451">
        <v>45813</v>
      </c>
      <c r="M562" s="452"/>
      <c r="N562" s="452"/>
      <c r="O562" s="453"/>
      <c r="T562" s="7">
        <f>T558+[2]combined!$S$329</f>
        <v>189086960</v>
      </c>
    </row>
    <row r="563" spans="6:20" ht="20.25" thickBot="1" x14ac:dyDescent="0.45">
      <c r="L563" s="442" t="s">
        <v>264</v>
      </c>
      <c r="M563" s="443"/>
      <c r="N563" s="444">
        <f>K558+L558+O558+M558</f>
        <v>15735412.7348</v>
      </c>
      <c r="O563" s="445"/>
    </row>
    <row r="564" spans="6:20" ht="20.25" thickBot="1" x14ac:dyDescent="0.45">
      <c r="L564" s="442" t="s">
        <v>265</v>
      </c>
      <c r="M564" s="443"/>
      <c r="N564" s="444">
        <f>U559</f>
        <v>-107372098.34209999</v>
      </c>
      <c r="O564" s="445"/>
    </row>
    <row r="565" spans="6:20" ht="20.25" thickBot="1" x14ac:dyDescent="0.45">
      <c r="L565" s="434" t="s">
        <v>266</v>
      </c>
      <c r="M565" s="435"/>
      <c r="N565" s="440"/>
      <c r="O565" s="441"/>
    </row>
    <row r="566" spans="6:20" ht="20.25" thickBot="1" x14ac:dyDescent="0.45">
      <c r="F566" s="7">
        <f>G558+F558</f>
        <v>129776735.44999999</v>
      </c>
      <c r="L566" s="434" t="s">
        <v>731</v>
      </c>
      <c r="M566" s="435"/>
      <c r="N566" s="440">
        <f>N489+N485+N480+N476+N468+N472+N463+N458+N426+N418+N413+N393+N387+N372+N366+N353+N333+N323+N291+N273+N266+N260+N223+N191+N132+N122+N111+N102+N64+N27</f>
        <v>3818325.84</v>
      </c>
      <c r="O566" s="441"/>
    </row>
    <row r="567" spans="6:20" ht="20.25" thickBot="1" x14ac:dyDescent="0.4">
      <c r="L567" s="434" t="s">
        <v>735</v>
      </c>
      <c r="M567" s="435"/>
      <c r="N567" s="436">
        <f>E485+E476+E472+E418+E393+E366+E323+E291+E266+E132+E111+E64+E468+E480+E260+E191+E122+E413+E333+E27+E102+E273+E372+E426+E458+E463+E489+E387+E353</f>
        <v>21055413</v>
      </c>
      <c r="O567" s="437"/>
    </row>
    <row r="568" spans="6:20" ht="20.25" thickBot="1" x14ac:dyDescent="0.4">
      <c r="L568" s="434" t="s">
        <v>736</v>
      </c>
      <c r="M568" s="435"/>
      <c r="N568" s="436">
        <f>P485+P476+P472+P418+P393+P366+P323+P291+P266+P132+P111+P64+P468+P480+P260+P191+P122+P413+P333+P489+P463+P458+P426+P387+P372+P353+P273+P223+P102+P27</f>
        <v>16637053.720000001</v>
      </c>
      <c r="O568" s="437"/>
    </row>
  </sheetData>
  <autoFilter ref="U1:U566" xr:uid="{00000000-0009-0000-0000-000001000000}"/>
  <mergeCells count="16">
    <mergeCell ref="Q4:Q5"/>
    <mergeCell ref="L561:O561"/>
    <mergeCell ref="L562:O562"/>
    <mergeCell ref="L563:M563"/>
    <mergeCell ref="N563:O563"/>
    <mergeCell ref="L567:M567"/>
    <mergeCell ref="N567:O567"/>
    <mergeCell ref="L568:M568"/>
    <mergeCell ref="N568:O568"/>
    <mergeCell ref="Q321:Q322"/>
    <mergeCell ref="L566:M566"/>
    <mergeCell ref="N566:O566"/>
    <mergeCell ref="L565:M565"/>
    <mergeCell ref="N565:O565"/>
    <mergeCell ref="L564:M564"/>
    <mergeCell ref="N564:O564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18" fitToHeight="0" orientation="portrait" verticalDpi="300" r:id="rId1"/>
  <rowBreaks count="4" manualBreakCount="4">
    <brk id="154" max="22" man="1"/>
    <brk id="225" max="22" man="1"/>
    <brk id="312" max="22" man="1"/>
    <brk id="393" max="22" man="1"/>
  </rowBreaks>
  <ignoredErrors>
    <ignoredError sqref="P398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70778-9ED8-4053-91E8-24D00AB3839E}">
  <dimension ref="A1:R79"/>
  <sheetViews>
    <sheetView topLeftCell="H1" workbookViewId="0">
      <selection activeCell="J3" sqref="J3"/>
    </sheetView>
  </sheetViews>
  <sheetFormatPr defaultRowHeight="15" x14ac:dyDescent="0.25"/>
  <cols>
    <col min="1" max="1" width="8.42578125" customWidth="1"/>
    <col min="2" max="2" width="39.140625" customWidth="1"/>
    <col min="3" max="3" width="25.42578125" customWidth="1"/>
    <col min="4" max="4" width="17.5703125" customWidth="1"/>
    <col min="5" max="5" width="28.140625" customWidth="1"/>
    <col min="6" max="6" width="25.85546875" customWidth="1"/>
    <col min="7" max="7" width="25.7109375" customWidth="1"/>
    <col min="8" max="8" width="37.140625" customWidth="1"/>
    <col min="9" max="9" width="28" customWidth="1"/>
    <col min="10" max="10" width="35.42578125" customWidth="1"/>
    <col min="11" max="11" width="34.42578125" customWidth="1"/>
    <col min="12" max="18" width="8.7109375" hidden="1" customWidth="1"/>
  </cols>
  <sheetData>
    <row r="1" spans="1:18" ht="21.75" thickBot="1" x14ac:dyDescent="0.3">
      <c r="A1" s="454" t="s">
        <v>886</v>
      </c>
      <c r="B1" s="455"/>
      <c r="C1" s="455"/>
      <c r="D1" s="455"/>
      <c r="E1" s="455"/>
      <c r="F1" s="455"/>
      <c r="G1" s="455"/>
      <c r="H1" s="455"/>
      <c r="I1" s="455"/>
      <c r="J1" s="456"/>
      <c r="K1" s="456"/>
      <c r="L1" s="455"/>
      <c r="M1" s="455"/>
      <c r="N1" s="455"/>
      <c r="O1" s="455"/>
      <c r="P1" s="455"/>
      <c r="Q1" s="455"/>
      <c r="R1" s="457"/>
    </row>
    <row r="2" spans="1:18" ht="38.25" thickBot="1" x14ac:dyDescent="0.3">
      <c r="A2" s="276" t="s">
        <v>786</v>
      </c>
      <c r="B2" s="276" t="s">
        <v>787</v>
      </c>
      <c r="C2" s="276" t="s">
        <v>788</v>
      </c>
      <c r="D2" s="276" t="s">
        <v>789</v>
      </c>
      <c r="E2" s="277" t="s">
        <v>880</v>
      </c>
      <c r="F2" s="277" t="s">
        <v>881</v>
      </c>
      <c r="G2" s="278" t="s">
        <v>883</v>
      </c>
      <c r="H2" s="278" t="s">
        <v>884</v>
      </c>
      <c r="I2" s="279" t="s">
        <v>885</v>
      </c>
      <c r="J2" s="280" t="s">
        <v>911</v>
      </c>
      <c r="K2" s="281" t="s">
        <v>910</v>
      </c>
    </row>
    <row r="3" spans="1:18" ht="18.75" x14ac:dyDescent="0.3">
      <c r="A3" s="267">
        <v>1</v>
      </c>
      <c r="B3" s="268" t="s">
        <v>790</v>
      </c>
      <c r="C3" s="268" t="s">
        <v>791</v>
      </c>
      <c r="D3" s="268" t="s">
        <v>792</v>
      </c>
      <c r="E3" s="269" t="s">
        <v>882</v>
      </c>
      <c r="F3" s="394">
        <v>60114</v>
      </c>
      <c r="G3" s="401">
        <v>3480750</v>
      </c>
      <c r="H3" s="401">
        <v>455091.12</v>
      </c>
      <c r="I3" s="401">
        <v>338216</v>
      </c>
      <c r="J3" s="409">
        <v>2902851.68</v>
      </c>
      <c r="K3" s="410">
        <v>4050000</v>
      </c>
      <c r="L3" s="395"/>
      <c r="M3" s="395"/>
      <c r="N3" s="395"/>
      <c r="O3" s="395"/>
      <c r="P3" s="395"/>
      <c r="Q3" s="395"/>
      <c r="R3" s="396"/>
    </row>
    <row r="4" spans="1:18" ht="18.75" x14ac:dyDescent="0.3">
      <c r="A4" s="270">
        <v>2</v>
      </c>
      <c r="B4" s="262" t="s">
        <v>790</v>
      </c>
      <c r="C4" s="262" t="s">
        <v>793</v>
      </c>
      <c r="D4" s="262" t="s">
        <v>794</v>
      </c>
      <c r="E4" s="263" t="s">
        <v>882</v>
      </c>
      <c r="F4" s="393">
        <v>60816</v>
      </c>
      <c r="G4" s="266">
        <v>1260000</v>
      </c>
      <c r="H4" s="266">
        <v>100388</v>
      </c>
      <c r="I4" s="266">
        <v>229786</v>
      </c>
      <c r="J4" s="408">
        <v>855517.79</v>
      </c>
      <c r="K4" s="411">
        <v>3450000</v>
      </c>
      <c r="R4" s="397"/>
    </row>
    <row r="5" spans="1:18" ht="19.5" x14ac:dyDescent="0.3">
      <c r="A5" s="270">
        <v>3</v>
      </c>
      <c r="B5" s="262" t="s">
        <v>795</v>
      </c>
      <c r="C5" s="262" t="s">
        <v>796</v>
      </c>
      <c r="D5" s="262" t="s">
        <v>792</v>
      </c>
      <c r="E5" s="263" t="s">
        <v>882</v>
      </c>
      <c r="F5" s="393">
        <v>68570</v>
      </c>
      <c r="G5" s="266">
        <v>742500</v>
      </c>
      <c r="H5" s="266">
        <v>0</v>
      </c>
      <c r="I5" s="266">
        <v>0</v>
      </c>
      <c r="J5" s="419">
        <v>697950</v>
      </c>
      <c r="K5" s="411">
        <v>1997950</v>
      </c>
      <c r="R5" s="397"/>
    </row>
    <row r="6" spans="1:18" ht="18.75" x14ac:dyDescent="0.3">
      <c r="A6" s="270">
        <v>4</v>
      </c>
      <c r="B6" s="262" t="s">
        <v>795</v>
      </c>
      <c r="C6" s="262" t="s">
        <v>797</v>
      </c>
      <c r="D6" s="262" t="s">
        <v>798</v>
      </c>
      <c r="E6" s="263" t="s">
        <v>882</v>
      </c>
      <c r="F6" s="393">
        <v>68572</v>
      </c>
      <c r="G6" s="266">
        <v>899100</v>
      </c>
      <c r="H6" s="266">
        <v>0</v>
      </c>
      <c r="I6" s="266">
        <v>0</v>
      </c>
      <c r="J6" s="408">
        <v>845145</v>
      </c>
      <c r="K6" s="411">
        <v>1550000</v>
      </c>
      <c r="R6" s="397"/>
    </row>
    <row r="7" spans="1:18" ht="18.75" x14ac:dyDescent="0.3">
      <c r="A7" s="270">
        <v>5</v>
      </c>
      <c r="B7" s="262" t="s">
        <v>790</v>
      </c>
      <c r="C7" s="262" t="s">
        <v>799</v>
      </c>
      <c r="D7" s="262" t="s">
        <v>792</v>
      </c>
      <c r="E7" s="263" t="s">
        <v>882</v>
      </c>
      <c r="F7" s="393">
        <v>61849</v>
      </c>
      <c r="G7" s="266">
        <v>2103750</v>
      </c>
      <c r="H7" s="266">
        <v>319878</v>
      </c>
      <c r="I7" s="266">
        <v>326649</v>
      </c>
      <c r="J7" s="408">
        <v>1855531.25</v>
      </c>
      <c r="K7" s="411">
        <v>2300000</v>
      </c>
      <c r="R7" s="397"/>
    </row>
    <row r="8" spans="1:18" ht="18.75" x14ac:dyDescent="0.3">
      <c r="A8" s="270">
        <v>6</v>
      </c>
      <c r="B8" s="262" t="s">
        <v>790</v>
      </c>
      <c r="C8" s="262" t="s">
        <v>800</v>
      </c>
      <c r="D8" s="262" t="s">
        <v>801</v>
      </c>
      <c r="E8" s="263" t="s">
        <v>882</v>
      </c>
      <c r="F8" s="393">
        <v>55852</v>
      </c>
      <c r="G8" s="266">
        <v>2137500</v>
      </c>
      <c r="H8" s="266">
        <v>188431</v>
      </c>
      <c r="I8" s="266">
        <v>1090663</v>
      </c>
      <c r="J8" s="408">
        <v>1067949.68</v>
      </c>
      <c r="K8" s="411">
        <v>2400000</v>
      </c>
      <c r="R8" s="397"/>
    </row>
    <row r="9" spans="1:18" ht="18.75" x14ac:dyDescent="0.3">
      <c r="A9" s="270">
        <v>7</v>
      </c>
      <c r="B9" s="262" t="s">
        <v>790</v>
      </c>
      <c r="C9" s="262" t="s">
        <v>802</v>
      </c>
      <c r="D9" s="262" t="s">
        <v>801</v>
      </c>
      <c r="E9" s="263" t="s">
        <v>882</v>
      </c>
      <c r="F9" s="393">
        <v>59050</v>
      </c>
      <c r="G9" s="266">
        <v>2850000</v>
      </c>
      <c r="H9" s="266">
        <v>443593</v>
      </c>
      <c r="I9" s="266">
        <v>385593</v>
      </c>
      <c r="J9" s="408">
        <v>2513694.98</v>
      </c>
      <c r="K9" s="411">
        <v>3200000</v>
      </c>
      <c r="R9" s="397"/>
    </row>
    <row r="10" spans="1:18" ht="18.75" x14ac:dyDescent="0.3">
      <c r="A10" s="270">
        <v>8</v>
      </c>
      <c r="B10" s="262" t="s">
        <v>803</v>
      </c>
      <c r="C10" s="262" t="s">
        <v>804</v>
      </c>
      <c r="D10" s="262" t="s">
        <v>805</v>
      </c>
      <c r="E10" s="263" t="s">
        <v>882</v>
      </c>
      <c r="F10" s="393">
        <v>69745</v>
      </c>
      <c r="G10" s="265"/>
      <c r="H10" s="265"/>
      <c r="I10" s="265"/>
      <c r="J10" s="412"/>
      <c r="K10" s="411">
        <v>3000000</v>
      </c>
      <c r="R10" s="397"/>
    </row>
    <row r="11" spans="1:18" ht="18.75" x14ac:dyDescent="0.3">
      <c r="A11" s="270">
        <v>9</v>
      </c>
      <c r="B11" s="262" t="s">
        <v>790</v>
      </c>
      <c r="C11" s="262" t="s">
        <v>808</v>
      </c>
      <c r="D11" s="262" t="s">
        <v>792</v>
      </c>
      <c r="E11" s="263" t="s">
        <v>882</v>
      </c>
      <c r="F11" s="393">
        <v>59654</v>
      </c>
      <c r="G11" s="266">
        <v>2103750</v>
      </c>
      <c r="H11" s="266">
        <v>272594</v>
      </c>
      <c r="I11" s="266">
        <v>589339</v>
      </c>
      <c r="J11" s="408">
        <v>1574794.4</v>
      </c>
      <c r="K11" s="413">
        <v>2350000</v>
      </c>
      <c r="R11" s="397"/>
    </row>
    <row r="12" spans="1:18" ht="18.75" x14ac:dyDescent="0.3">
      <c r="A12" s="270">
        <v>10</v>
      </c>
      <c r="B12" s="262" t="s">
        <v>790</v>
      </c>
      <c r="C12" s="262" t="s">
        <v>810</v>
      </c>
      <c r="D12" s="262" t="s">
        <v>811</v>
      </c>
      <c r="E12" s="263" t="s">
        <v>882</v>
      </c>
      <c r="F12" s="393">
        <v>60073</v>
      </c>
      <c r="G12" s="266">
        <v>1400000</v>
      </c>
      <c r="H12" s="266">
        <v>192650</v>
      </c>
      <c r="I12" s="266">
        <v>329725</v>
      </c>
      <c r="J12" s="408">
        <v>969180.5</v>
      </c>
      <c r="K12" s="413">
        <v>4050000</v>
      </c>
      <c r="R12" s="397"/>
    </row>
    <row r="13" spans="1:18" ht="18.75" x14ac:dyDescent="0.3">
      <c r="A13" s="270">
        <v>11</v>
      </c>
      <c r="B13" s="262" t="s">
        <v>806</v>
      </c>
      <c r="C13" s="262" t="s">
        <v>813</v>
      </c>
      <c r="D13" s="262" t="s">
        <v>792</v>
      </c>
      <c r="E13" s="263" t="s">
        <v>882</v>
      </c>
      <c r="F13" s="393">
        <v>60111</v>
      </c>
      <c r="G13" s="402">
        <v>1808750</v>
      </c>
      <c r="H13" s="402">
        <v>112130.69</v>
      </c>
      <c r="I13" s="402">
        <v>195802</v>
      </c>
      <c r="J13" s="408">
        <v>1357118.27</v>
      </c>
      <c r="K13" s="413">
        <v>290000</v>
      </c>
      <c r="R13" s="397"/>
    </row>
    <row r="14" spans="1:18" ht="18.75" x14ac:dyDescent="0.3">
      <c r="A14" s="270">
        <v>12</v>
      </c>
      <c r="B14" s="262" t="s">
        <v>790</v>
      </c>
      <c r="C14" s="262" t="s">
        <v>814</v>
      </c>
      <c r="D14" s="262" t="s">
        <v>815</v>
      </c>
      <c r="E14" s="263" t="s">
        <v>882</v>
      </c>
      <c r="F14" s="393">
        <v>61850</v>
      </c>
      <c r="G14" s="266">
        <v>2025000</v>
      </c>
      <c r="H14" s="266">
        <v>290281</v>
      </c>
      <c r="I14" s="266">
        <v>187330</v>
      </c>
      <c r="J14" s="408">
        <v>1755173.4</v>
      </c>
      <c r="K14" s="413">
        <v>2200000</v>
      </c>
      <c r="R14" s="397"/>
    </row>
    <row r="15" spans="1:18" ht="18.75" x14ac:dyDescent="0.3">
      <c r="A15" s="270">
        <v>13</v>
      </c>
      <c r="B15" s="262" t="s">
        <v>803</v>
      </c>
      <c r="C15" s="262" t="s">
        <v>816</v>
      </c>
      <c r="D15" s="262" t="s">
        <v>817</v>
      </c>
      <c r="E15" s="263" t="s">
        <v>882</v>
      </c>
      <c r="F15" s="393">
        <v>57227</v>
      </c>
      <c r="G15" s="266">
        <v>2020000</v>
      </c>
      <c r="H15" s="266">
        <v>192965</v>
      </c>
      <c r="I15" s="266">
        <v>947971</v>
      </c>
      <c r="J15" s="408">
        <v>1003052.36</v>
      </c>
      <c r="K15" s="413">
        <v>2400000</v>
      </c>
      <c r="R15" s="397"/>
    </row>
    <row r="16" spans="1:18" ht="18.75" x14ac:dyDescent="0.3">
      <c r="A16" s="270">
        <v>14</v>
      </c>
      <c r="B16" s="262" t="s">
        <v>803</v>
      </c>
      <c r="C16" s="262" t="s">
        <v>818</v>
      </c>
      <c r="D16" s="262" t="s">
        <v>792</v>
      </c>
      <c r="E16" s="263" t="s">
        <v>882</v>
      </c>
      <c r="F16" s="393">
        <v>59328</v>
      </c>
      <c r="G16" s="266">
        <v>1856250</v>
      </c>
      <c r="H16" s="266">
        <v>161663</v>
      </c>
      <c r="I16" s="266">
        <v>710624</v>
      </c>
      <c r="J16" s="408">
        <v>995780.96</v>
      </c>
      <c r="K16" s="413">
        <v>1700000</v>
      </c>
      <c r="R16" s="397"/>
    </row>
    <row r="17" spans="1:18" ht="18.75" x14ac:dyDescent="0.3">
      <c r="A17" s="270">
        <v>15</v>
      </c>
      <c r="B17" s="262" t="s">
        <v>803</v>
      </c>
      <c r="C17" s="262" t="s">
        <v>819</v>
      </c>
      <c r="D17" s="262" t="s">
        <v>820</v>
      </c>
      <c r="E17" s="263" t="s">
        <v>882</v>
      </c>
      <c r="F17" s="393">
        <v>62126</v>
      </c>
      <c r="G17" s="266">
        <v>1750000</v>
      </c>
      <c r="H17" s="266">
        <v>251561</v>
      </c>
      <c r="I17" s="266">
        <v>352439</v>
      </c>
      <c r="J17" s="408">
        <v>1527768.32</v>
      </c>
      <c r="K17" s="413">
        <v>5100000</v>
      </c>
      <c r="R17" s="397"/>
    </row>
    <row r="18" spans="1:18" ht="18.75" x14ac:dyDescent="0.3">
      <c r="A18" s="270">
        <v>16</v>
      </c>
      <c r="B18" s="262" t="s">
        <v>790</v>
      </c>
      <c r="C18" s="262" t="s">
        <v>821</v>
      </c>
      <c r="D18" s="262" t="s">
        <v>792</v>
      </c>
      <c r="E18" s="263" t="s">
        <v>882</v>
      </c>
      <c r="F18" s="393">
        <v>66143</v>
      </c>
      <c r="G18" s="266">
        <v>990000</v>
      </c>
      <c r="H18" s="266">
        <v>178200</v>
      </c>
      <c r="I18" s="265">
        <v>0</v>
      </c>
      <c r="J18" s="408">
        <v>1108800</v>
      </c>
      <c r="K18" s="413">
        <v>2100000</v>
      </c>
      <c r="R18" s="397"/>
    </row>
    <row r="19" spans="1:18" ht="18.75" x14ac:dyDescent="0.3">
      <c r="A19" s="270">
        <v>17</v>
      </c>
      <c r="B19" s="262" t="s">
        <v>790</v>
      </c>
      <c r="C19" s="262" t="s">
        <v>822</v>
      </c>
      <c r="D19" s="262" t="s">
        <v>792</v>
      </c>
      <c r="E19" s="263" t="s">
        <v>882</v>
      </c>
      <c r="F19" s="393">
        <v>68571</v>
      </c>
      <c r="G19" s="266">
        <v>1014750</v>
      </c>
      <c r="H19" s="265">
        <v>0</v>
      </c>
      <c r="I19" s="265">
        <v>0</v>
      </c>
      <c r="J19" s="412"/>
      <c r="K19" s="413">
        <v>1200000</v>
      </c>
      <c r="R19" s="397"/>
    </row>
    <row r="20" spans="1:18" ht="18.75" x14ac:dyDescent="0.3">
      <c r="A20" s="270">
        <v>18</v>
      </c>
      <c r="B20" s="262" t="s">
        <v>803</v>
      </c>
      <c r="C20" s="262" t="s">
        <v>823</v>
      </c>
      <c r="D20" s="262" t="s">
        <v>824</v>
      </c>
      <c r="E20" s="263" t="s">
        <v>882</v>
      </c>
      <c r="F20" s="393">
        <v>53221</v>
      </c>
      <c r="G20" s="266">
        <v>5310000</v>
      </c>
      <c r="H20" s="266">
        <v>616280</v>
      </c>
      <c r="I20" s="266">
        <v>1886220</v>
      </c>
      <c r="J20" s="408">
        <v>3245074.83</v>
      </c>
      <c r="K20" s="413">
        <v>6237500</v>
      </c>
      <c r="R20" s="397"/>
    </row>
    <row r="21" spans="1:18" ht="18.75" x14ac:dyDescent="0.3">
      <c r="A21" s="270">
        <v>19</v>
      </c>
      <c r="B21" s="262" t="s">
        <v>795</v>
      </c>
      <c r="C21" s="262" t="s">
        <v>825</v>
      </c>
      <c r="D21" s="262" t="s">
        <v>792</v>
      </c>
      <c r="E21" s="263" t="s">
        <v>882</v>
      </c>
      <c r="F21" s="393">
        <v>59049</v>
      </c>
      <c r="G21" s="266">
        <v>2227500</v>
      </c>
      <c r="H21" s="266">
        <v>301811</v>
      </c>
      <c r="I21" s="266">
        <v>550770</v>
      </c>
      <c r="J21" s="408">
        <v>1745719.66</v>
      </c>
      <c r="K21" s="413">
        <v>2300000</v>
      </c>
      <c r="R21" s="397"/>
    </row>
    <row r="22" spans="1:18" ht="18.75" x14ac:dyDescent="0.3">
      <c r="A22" s="270">
        <v>20</v>
      </c>
      <c r="B22" s="262" t="s">
        <v>806</v>
      </c>
      <c r="C22" s="262" t="s">
        <v>826</v>
      </c>
      <c r="D22" s="262" t="s">
        <v>827</v>
      </c>
      <c r="E22" s="263" t="s">
        <v>882</v>
      </c>
      <c r="F22" s="393">
        <v>52472</v>
      </c>
      <c r="G22" s="266">
        <v>3307500</v>
      </c>
      <c r="H22" s="266">
        <v>329591</v>
      </c>
      <c r="I22" s="266">
        <v>1476432</v>
      </c>
      <c r="J22" s="408">
        <v>1869246.93</v>
      </c>
      <c r="K22" s="413">
        <v>3650000</v>
      </c>
      <c r="R22" s="397"/>
    </row>
    <row r="23" spans="1:18" ht="18.75" x14ac:dyDescent="0.3">
      <c r="A23" s="270">
        <v>21</v>
      </c>
      <c r="B23" s="262" t="s">
        <v>803</v>
      </c>
      <c r="C23" s="262" t="s">
        <v>828</v>
      </c>
      <c r="D23" s="262" t="s">
        <v>815</v>
      </c>
      <c r="E23" s="263" t="s">
        <v>882</v>
      </c>
      <c r="F23" s="393">
        <v>62127</v>
      </c>
      <c r="G23" s="266">
        <v>1800000</v>
      </c>
      <c r="H23" s="266">
        <v>141750</v>
      </c>
      <c r="I23" s="265">
        <v>0</v>
      </c>
      <c r="J23" s="408">
        <v>1833750</v>
      </c>
      <c r="K23" s="413">
        <v>2100000</v>
      </c>
      <c r="R23" s="397"/>
    </row>
    <row r="24" spans="1:18" ht="18.75" x14ac:dyDescent="0.3">
      <c r="A24" s="270">
        <v>22</v>
      </c>
      <c r="B24" s="262" t="s">
        <v>795</v>
      </c>
      <c r="C24" s="262" t="s">
        <v>829</v>
      </c>
      <c r="D24" s="262" t="s">
        <v>792</v>
      </c>
      <c r="E24" s="263" t="s">
        <v>882</v>
      </c>
      <c r="F24" s="393">
        <v>60075</v>
      </c>
      <c r="G24" s="266">
        <v>1361250</v>
      </c>
      <c r="H24" s="266">
        <v>215411</v>
      </c>
      <c r="I24" s="266">
        <v>164522</v>
      </c>
      <c r="J24" s="408">
        <v>1270162.6000000001</v>
      </c>
      <c r="K24" s="413">
        <v>1900000</v>
      </c>
      <c r="R24" s="397"/>
    </row>
    <row r="25" spans="1:18" ht="18.75" x14ac:dyDescent="0.3">
      <c r="A25" s="270">
        <v>23</v>
      </c>
      <c r="B25" s="262" t="s">
        <v>790</v>
      </c>
      <c r="C25" s="262" t="s">
        <v>830</v>
      </c>
      <c r="D25" s="262" t="s">
        <v>792</v>
      </c>
      <c r="E25" s="263" t="s">
        <v>882</v>
      </c>
      <c r="F25" s="393">
        <v>60430</v>
      </c>
      <c r="G25" s="402">
        <v>1980000</v>
      </c>
      <c r="H25" s="402">
        <v>206586</v>
      </c>
      <c r="I25" s="402">
        <v>213551</v>
      </c>
      <c r="J25" s="408">
        <v>1702777.98</v>
      </c>
      <c r="K25" s="413">
        <v>2400000</v>
      </c>
      <c r="R25" s="397"/>
    </row>
    <row r="26" spans="1:18" ht="18.75" x14ac:dyDescent="0.3">
      <c r="A26" s="270">
        <v>24</v>
      </c>
      <c r="B26" s="262" t="s">
        <v>790</v>
      </c>
      <c r="C26" s="262" t="s">
        <v>832</v>
      </c>
      <c r="D26" s="262" t="s">
        <v>833</v>
      </c>
      <c r="E26" s="263" t="s">
        <v>882</v>
      </c>
      <c r="F26" s="393">
        <v>59652</v>
      </c>
      <c r="G26" s="266">
        <v>3487687</v>
      </c>
      <c r="H26" s="266">
        <v>457419</v>
      </c>
      <c r="I26" s="266">
        <v>395782</v>
      </c>
      <c r="J26" s="408">
        <v>2982086.15</v>
      </c>
      <c r="K26" s="413">
        <v>4200000</v>
      </c>
      <c r="R26" s="397"/>
    </row>
    <row r="27" spans="1:18" ht="18.75" x14ac:dyDescent="0.3">
      <c r="A27" s="270">
        <v>25</v>
      </c>
      <c r="B27" s="262" t="s">
        <v>795</v>
      </c>
      <c r="C27" s="262" t="s">
        <v>834</v>
      </c>
      <c r="D27" s="262" t="s">
        <v>801</v>
      </c>
      <c r="E27" s="263" t="s">
        <v>882</v>
      </c>
      <c r="F27" s="393">
        <v>58032</v>
      </c>
      <c r="G27" s="402">
        <v>2422500</v>
      </c>
      <c r="H27" s="402">
        <v>330685</v>
      </c>
      <c r="I27" s="402">
        <v>585361</v>
      </c>
      <c r="J27" s="408">
        <v>1905607</v>
      </c>
      <c r="K27" s="413">
        <v>2800000</v>
      </c>
      <c r="R27" s="397"/>
    </row>
    <row r="28" spans="1:18" ht="18.75" x14ac:dyDescent="0.3">
      <c r="A28" s="270">
        <v>26</v>
      </c>
      <c r="B28" s="262" t="s">
        <v>803</v>
      </c>
      <c r="C28" s="262" t="s">
        <v>835</v>
      </c>
      <c r="D28" s="262" t="s">
        <v>833</v>
      </c>
      <c r="E28" s="263" t="s">
        <v>882</v>
      </c>
      <c r="F28" s="393">
        <v>52281</v>
      </c>
      <c r="G28" s="266">
        <v>3675000</v>
      </c>
      <c r="H28" s="266">
        <v>366316</v>
      </c>
      <c r="I28" s="266">
        <v>1088659</v>
      </c>
      <c r="J28" s="408">
        <v>2032321.58</v>
      </c>
      <c r="K28" s="413">
        <v>3850000</v>
      </c>
      <c r="R28" s="397"/>
    </row>
    <row r="29" spans="1:18" ht="18.75" x14ac:dyDescent="0.3">
      <c r="A29" s="270">
        <v>27</v>
      </c>
      <c r="B29" s="262" t="s">
        <v>790</v>
      </c>
      <c r="C29" s="262" t="s">
        <v>836</v>
      </c>
      <c r="D29" s="262" t="s">
        <v>807</v>
      </c>
      <c r="E29" s="263" t="s">
        <v>882</v>
      </c>
      <c r="F29" s="393">
        <v>55767</v>
      </c>
      <c r="G29" s="266">
        <v>2208937</v>
      </c>
      <c r="H29" s="266">
        <v>101639</v>
      </c>
      <c r="I29" s="266">
        <v>474838</v>
      </c>
      <c r="J29" s="408">
        <v>1675226</v>
      </c>
      <c r="K29" s="413">
        <v>3126706</v>
      </c>
      <c r="R29" s="397"/>
    </row>
    <row r="30" spans="1:18" ht="18.75" x14ac:dyDescent="0.3">
      <c r="A30" s="270">
        <v>28</v>
      </c>
      <c r="B30" s="262" t="s">
        <v>790</v>
      </c>
      <c r="C30" s="262" t="s">
        <v>837</v>
      </c>
      <c r="D30" s="262" t="s">
        <v>838</v>
      </c>
      <c r="E30" s="263" t="s">
        <v>882</v>
      </c>
      <c r="F30" s="393">
        <v>59653</v>
      </c>
      <c r="G30" s="402">
        <v>546000</v>
      </c>
      <c r="H30" s="402">
        <v>72580</v>
      </c>
      <c r="I30" s="402">
        <v>142778</v>
      </c>
      <c r="J30" s="408">
        <v>431706.22</v>
      </c>
      <c r="K30" s="413">
        <v>1300000</v>
      </c>
      <c r="R30" s="397"/>
    </row>
    <row r="31" spans="1:18" ht="18.75" x14ac:dyDescent="0.3">
      <c r="A31" s="270">
        <v>29</v>
      </c>
      <c r="B31" s="262" t="s">
        <v>795</v>
      </c>
      <c r="C31" s="262" t="s">
        <v>839</v>
      </c>
      <c r="D31" s="262" t="s">
        <v>831</v>
      </c>
      <c r="E31" s="263" t="s">
        <v>882</v>
      </c>
      <c r="F31" s="393">
        <v>58034</v>
      </c>
      <c r="G31" s="266">
        <v>2479500</v>
      </c>
      <c r="H31" s="266">
        <v>237487</v>
      </c>
      <c r="I31" s="266">
        <v>768631</v>
      </c>
      <c r="J31" s="408">
        <v>1612428</v>
      </c>
      <c r="K31" s="413">
        <v>2700000</v>
      </c>
      <c r="R31" s="397"/>
    </row>
    <row r="32" spans="1:18" ht="18.75" x14ac:dyDescent="0.3">
      <c r="A32" s="270">
        <v>30</v>
      </c>
      <c r="B32" s="262" t="s">
        <v>790</v>
      </c>
      <c r="C32" s="262" t="s">
        <v>840</v>
      </c>
      <c r="D32" s="262" t="s">
        <v>815</v>
      </c>
      <c r="E32" s="263" t="s">
        <v>882</v>
      </c>
      <c r="F32" s="393">
        <v>55846</v>
      </c>
      <c r="G32" s="266">
        <v>1687500</v>
      </c>
      <c r="H32" s="266">
        <v>157189</v>
      </c>
      <c r="I32" s="266">
        <v>814229</v>
      </c>
      <c r="J32" s="408">
        <v>890737.19</v>
      </c>
      <c r="K32" s="413">
        <v>1541564</v>
      </c>
      <c r="R32" s="397"/>
    </row>
    <row r="33" spans="1:18" ht="18.75" x14ac:dyDescent="0.3">
      <c r="A33" s="270">
        <v>31</v>
      </c>
      <c r="B33" s="262" t="s">
        <v>790</v>
      </c>
      <c r="C33" s="262" t="s">
        <v>841</v>
      </c>
      <c r="D33" s="262" t="s">
        <v>842</v>
      </c>
      <c r="E33" s="263" t="s">
        <v>882</v>
      </c>
      <c r="F33" s="393">
        <v>68568</v>
      </c>
      <c r="G33" s="266">
        <v>937500</v>
      </c>
      <c r="H33" s="265">
        <v>0</v>
      </c>
      <c r="I33" s="265">
        <v>0</v>
      </c>
      <c r="J33" s="408">
        <v>881250</v>
      </c>
      <c r="K33" s="413">
        <v>2000000</v>
      </c>
      <c r="R33" s="397"/>
    </row>
    <row r="34" spans="1:18" ht="18.75" x14ac:dyDescent="0.3">
      <c r="A34" s="270">
        <v>32</v>
      </c>
      <c r="B34" s="262" t="s">
        <v>795</v>
      </c>
      <c r="C34" s="262" t="s">
        <v>843</v>
      </c>
      <c r="D34" s="262" t="s">
        <v>794</v>
      </c>
      <c r="E34" s="263" t="s">
        <v>882</v>
      </c>
      <c r="F34" s="393">
        <v>58033</v>
      </c>
      <c r="G34" s="266">
        <v>2520000</v>
      </c>
      <c r="H34" s="266">
        <v>358466</v>
      </c>
      <c r="I34" s="266">
        <v>528524</v>
      </c>
      <c r="J34" s="408">
        <v>1906311</v>
      </c>
      <c r="K34" s="413">
        <v>3150000</v>
      </c>
      <c r="R34" s="397"/>
    </row>
    <row r="35" spans="1:18" ht="18.75" x14ac:dyDescent="0.3">
      <c r="A35" s="270">
        <v>33</v>
      </c>
      <c r="B35" s="262" t="s">
        <v>803</v>
      </c>
      <c r="C35" s="262" t="s">
        <v>844</v>
      </c>
      <c r="D35" s="262" t="s">
        <v>809</v>
      </c>
      <c r="E35" s="263" t="s">
        <v>882</v>
      </c>
      <c r="F35" s="393">
        <v>52749</v>
      </c>
      <c r="G35" s="266">
        <v>3412500</v>
      </c>
      <c r="H35" s="266">
        <v>331041</v>
      </c>
      <c r="I35" s="266">
        <v>1402764</v>
      </c>
      <c r="J35" s="408">
        <v>2045245</v>
      </c>
      <c r="K35" s="413">
        <v>3350000</v>
      </c>
      <c r="R35" s="397"/>
    </row>
    <row r="36" spans="1:18" ht="18.75" x14ac:dyDescent="0.3">
      <c r="A36" s="270">
        <v>34</v>
      </c>
      <c r="B36" s="262" t="s">
        <v>795</v>
      </c>
      <c r="C36" s="262" t="s">
        <v>845</v>
      </c>
      <c r="D36" s="262" t="s">
        <v>846</v>
      </c>
      <c r="E36" s="263" t="s">
        <v>882</v>
      </c>
      <c r="F36" s="393">
        <v>67108</v>
      </c>
      <c r="G36" s="266">
        <v>1568000</v>
      </c>
      <c r="H36" s="266">
        <v>282240</v>
      </c>
      <c r="I36" s="265">
        <v>0</v>
      </c>
      <c r="J36" s="408">
        <v>1658160</v>
      </c>
      <c r="K36" s="413">
        <v>1900000</v>
      </c>
      <c r="R36" s="397"/>
    </row>
    <row r="37" spans="1:18" ht="18.75" x14ac:dyDescent="0.3">
      <c r="A37" s="270">
        <v>35</v>
      </c>
      <c r="B37" s="262" t="s">
        <v>795</v>
      </c>
      <c r="C37" s="262" t="s">
        <v>847</v>
      </c>
      <c r="D37" s="262" t="s">
        <v>848</v>
      </c>
      <c r="E37" s="263" t="s">
        <v>882</v>
      </c>
      <c r="F37" s="393">
        <v>58045</v>
      </c>
      <c r="G37" s="266">
        <v>3717000</v>
      </c>
      <c r="H37" s="266">
        <v>404365.6</v>
      </c>
      <c r="I37" s="266">
        <v>1470520.42</v>
      </c>
      <c r="J37" s="408">
        <v>2301522.4300000002</v>
      </c>
      <c r="K37" s="413">
        <v>4100000</v>
      </c>
      <c r="R37" s="397"/>
    </row>
    <row r="38" spans="1:18" ht="18.75" x14ac:dyDescent="0.3">
      <c r="A38" s="270">
        <v>36</v>
      </c>
      <c r="B38" s="262" t="s">
        <v>849</v>
      </c>
      <c r="C38" s="262" t="s">
        <v>850</v>
      </c>
      <c r="D38" s="262" t="s">
        <v>831</v>
      </c>
      <c r="E38" s="263" t="s">
        <v>882</v>
      </c>
      <c r="F38" s="393">
        <v>69744</v>
      </c>
      <c r="G38" s="265"/>
      <c r="H38" s="265"/>
      <c r="I38" s="265"/>
      <c r="J38" s="412"/>
      <c r="K38" s="413">
        <v>25000000</v>
      </c>
      <c r="R38" s="397"/>
    </row>
    <row r="39" spans="1:18" ht="18.75" x14ac:dyDescent="0.3">
      <c r="A39" s="270">
        <v>37</v>
      </c>
      <c r="B39" s="262" t="s">
        <v>795</v>
      </c>
      <c r="C39" s="262" t="s">
        <v>851</v>
      </c>
      <c r="D39" s="262" t="s">
        <v>792</v>
      </c>
      <c r="E39" s="263" t="s">
        <v>882</v>
      </c>
      <c r="F39" s="393">
        <v>67109</v>
      </c>
      <c r="G39" s="266">
        <v>1980000</v>
      </c>
      <c r="H39" s="266">
        <v>356400</v>
      </c>
      <c r="I39" s="265">
        <v>0</v>
      </c>
      <c r="J39" s="408">
        <v>2093850</v>
      </c>
      <c r="K39" s="413">
        <v>24000000</v>
      </c>
      <c r="R39" s="397"/>
    </row>
    <row r="40" spans="1:18" ht="18.75" x14ac:dyDescent="0.3">
      <c r="A40" s="270">
        <v>38</v>
      </c>
      <c r="B40" s="262" t="s">
        <v>790</v>
      </c>
      <c r="C40" s="262" t="s">
        <v>852</v>
      </c>
      <c r="D40" s="262" t="s">
        <v>838</v>
      </c>
      <c r="E40" s="263" t="s">
        <v>882</v>
      </c>
      <c r="F40" s="393">
        <v>59651</v>
      </c>
      <c r="G40" s="266">
        <v>1228500</v>
      </c>
      <c r="H40" s="266">
        <v>69319</v>
      </c>
      <c r="I40" s="266">
        <v>160897</v>
      </c>
      <c r="J40" s="408">
        <v>893249.17</v>
      </c>
      <c r="K40" s="413">
        <v>1350000</v>
      </c>
      <c r="R40" s="397"/>
    </row>
    <row r="41" spans="1:18" ht="18.75" x14ac:dyDescent="0.3">
      <c r="A41" s="270">
        <v>39</v>
      </c>
      <c r="B41" s="262" t="s">
        <v>790</v>
      </c>
      <c r="C41" s="262" t="s">
        <v>853</v>
      </c>
      <c r="D41" s="262" t="s">
        <v>833</v>
      </c>
      <c r="E41" s="263" t="s">
        <v>882</v>
      </c>
      <c r="F41" s="393">
        <v>60502</v>
      </c>
      <c r="G41" s="266">
        <v>3487688</v>
      </c>
      <c r="H41" s="266">
        <v>305093</v>
      </c>
      <c r="I41" s="266">
        <v>324226</v>
      </c>
      <c r="J41" s="408">
        <v>2990826.74</v>
      </c>
      <c r="K41" s="413">
        <v>3650000</v>
      </c>
      <c r="R41" s="397"/>
    </row>
    <row r="42" spans="1:18" ht="18.75" x14ac:dyDescent="0.3">
      <c r="A42" s="270">
        <v>40</v>
      </c>
      <c r="B42" s="262" t="s">
        <v>803</v>
      </c>
      <c r="C42" s="262" t="s">
        <v>854</v>
      </c>
      <c r="D42" s="262" t="s">
        <v>855</v>
      </c>
      <c r="E42" s="263" t="s">
        <v>882</v>
      </c>
      <c r="F42" s="393">
        <v>61851</v>
      </c>
      <c r="G42" s="266">
        <v>2432000</v>
      </c>
      <c r="H42" s="266">
        <v>163886</v>
      </c>
      <c r="I42" s="266">
        <v>305524</v>
      </c>
      <c r="J42" s="408">
        <v>2117325.52</v>
      </c>
      <c r="K42" s="413">
        <v>3000000</v>
      </c>
      <c r="R42" s="397"/>
    </row>
    <row r="43" spans="1:18" ht="18.75" x14ac:dyDescent="0.3">
      <c r="A43" s="270">
        <v>41</v>
      </c>
      <c r="B43" s="262" t="s">
        <v>803</v>
      </c>
      <c r="C43" s="262" t="s">
        <v>856</v>
      </c>
      <c r="D43" s="262" t="s">
        <v>812</v>
      </c>
      <c r="E43" s="263" t="s">
        <v>882</v>
      </c>
      <c r="F43" s="393">
        <v>53220</v>
      </c>
      <c r="G43" s="266">
        <v>4235000</v>
      </c>
      <c r="H43" s="266">
        <v>453788</v>
      </c>
      <c r="I43" s="266">
        <v>1713961</v>
      </c>
      <c r="J43" s="408">
        <v>2586976</v>
      </c>
      <c r="K43" s="413">
        <v>4227589</v>
      </c>
      <c r="R43" s="397"/>
    </row>
    <row r="44" spans="1:18" ht="18.75" x14ac:dyDescent="0.3">
      <c r="A44" s="270">
        <v>42</v>
      </c>
      <c r="B44" s="262" t="s">
        <v>795</v>
      </c>
      <c r="C44" s="262" t="s">
        <v>857</v>
      </c>
      <c r="D44" s="262" t="s">
        <v>848</v>
      </c>
      <c r="E44" s="263" t="s">
        <v>882</v>
      </c>
      <c r="F44" s="393">
        <v>65821</v>
      </c>
      <c r="G44" s="266">
        <v>2478000</v>
      </c>
      <c r="H44" s="266">
        <v>354331</v>
      </c>
      <c r="I44" s="266">
        <v>302993</v>
      </c>
      <c r="J44" s="408">
        <v>2261042.38</v>
      </c>
      <c r="K44" s="413">
        <v>2400000</v>
      </c>
      <c r="R44" s="397"/>
    </row>
    <row r="45" spans="1:18" ht="18.75" x14ac:dyDescent="0.3">
      <c r="A45" s="270">
        <v>43</v>
      </c>
      <c r="B45" s="262" t="s">
        <v>795</v>
      </c>
      <c r="C45" s="262" t="s">
        <v>860</v>
      </c>
      <c r="D45" s="262" t="s">
        <v>815</v>
      </c>
      <c r="E45" s="263" t="s">
        <v>882</v>
      </c>
      <c r="F45" s="393">
        <v>60431</v>
      </c>
      <c r="G45" s="266">
        <v>1800000</v>
      </c>
      <c r="H45" s="266">
        <v>246887</v>
      </c>
      <c r="I45" s="266">
        <v>428406</v>
      </c>
      <c r="J45" s="408">
        <v>1376525.88</v>
      </c>
      <c r="K45" s="413">
        <v>2750000</v>
      </c>
      <c r="R45" s="397"/>
    </row>
    <row r="46" spans="1:18" ht="18.75" x14ac:dyDescent="0.3">
      <c r="A46" s="270">
        <v>44</v>
      </c>
      <c r="B46" s="262" t="s">
        <v>803</v>
      </c>
      <c r="C46" s="262" t="s">
        <v>860</v>
      </c>
      <c r="D46" s="262" t="s">
        <v>801</v>
      </c>
      <c r="E46" s="263" t="s">
        <v>882</v>
      </c>
      <c r="F46" s="393">
        <v>69829</v>
      </c>
      <c r="G46" s="265"/>
      <c r="H46" s="265"/>
      <c r="I46" s="265"/>
      <c r="J46" s="412"/>
      <c r="K46" s="413">
        <v>2750000</v>
      </c>
      <c r="R46" s="397"/>
    </row>
    <row r="47" spans="1:18" ht="18.75" x14ac:dyDescent="0.3">
      <c r="A47" s="270">
        <v>45</v>
      </c>
      <c r="B47" s="262" t="s">
        <v>803</v>
      </c>
      <c r="C47" s="262" t="s">
        <v>861</v>
      </c>
      <c r="D47" s="262" t="s">
        <v>812</v>
      </c>
      <c r="E47" s="263" t="s">
        <v>882</v>
      </c>
      <c r="F47" s="393">
        <v>53222</v>
      </c>
      <c r="G47" s="266">
        <v>4244252.6500000004</v>
      </c>
      <c r="H47" s="266">
        <v>411046</v>
      </c>
      <c r="I47" s="266">
        <v>1537163</v>
      </c>
      <c r="J47" s="408">
        <v>2619906</v>
      </c>
      <c r="K47" s="413">
        <v>3778456</v>
      </c>
      <c r="R47" s="397"/>
    </row>
    <row r="48" spans="1:18" ht="18.75" x14ac:dyDescent="0.3">
      <c r="A48" s="270">
        <v>46</v>
      </c>
      <c r="B48" s="262" t="s">
        <v>790</v>
      </c>
      <c r="C48" s="262" t="s">
        <v>862</v>
      </c>
      <c r="D48" s="262" t="s">
        <v>827</v>
      </c>
      <c r="E48" s="263" t="s">
        <v>882</v>
      </c>
      <c r="F48" s="393">
        <v>68566</v>
      </c>
      <c r="G48" s="266">
        <v>1102500</v>
      </c>
      <c r="H48" s="265">
        <v>0</v>
      </c>
      <c r="I48" s="265">
        <v>0</v>
      </c>
      <c r="J48" s="408">
        <v>852600</v>
      </c>
      <c r="K48" s="413">
        <v>3050000</v>
      </c>
      <c r="R48" s="397"/>
    </row>
    <row r="49" spans="1:18" ht="18.75" x14ac:dyDescent="0.3">
      <c r="A49" s="270">
        <v>47</v>
      </c>
      <c r="B49" s="262" t="s">
        <v>795</v>
      </c>
      <c r="C49" s="262" t="s">
        <v>863</v>
      </c>
      <c r="D49" s="262" t="s">
        <v>794</v>
      </c>
      <c r="E49" s="263" t="s">
        <v>882</v>
      </c>
      <c r="F49" s="393">
        <v>58354</v>
      </c>
      <c r="G49" s="266">
        <v>2992500</v>
      </c>
      <c r="H49" s="266">
        <v>366526</v>
      </c>
      <c r="I49" s="266">
        <v>920359</v>
      </c>
      <c r="J49" s="408">
        <v>2146801.62</v>
      </c>
      <c r="K49" s="413">
        <v>3150000</v>
      </c>
      <c r="R49" s="397"/>
    </row>
    <row r="50" spans="1:18" ht="18.75" x14ac:dyDescent="0.3">
      <c r="A50" s="270">
        <v>48</v>
      </c>
      <c r="B50" s="262" t="s">
        <v>803</v>
      </c>
      <c r="C50" s="262" t="s">
        <v>864</v>
      </c>
      <c r="D50" s="262" t="s">
        <v>809</v>
      </c>
      <c r="E50" s="263" t="s">
        <v>882</v>
      </c>
      <c r="F50" s="393">
        <v>52499</v>
      </c>
      <c r="G50" s="402">
        <v>3071250</v>
      </c>
      <c r="H50" s="402">
        <v>324029</v>
      </c>
      <c r="I50" s="402">
        <v>1271084</v>
      </c>
      <c r="J50" s="408">
        <v>1839433</v>
      </c>
      <c r="K50" s="413">
        <v>3650000</v>
      </c>
      <c r="R50" s="397"/>
    </row>
    <row r="51" spans="1:18" ht="18.75" x14ac:dyDescent="0.3">
      <c r="A51" s="270">
        <v>49</v>
      </c>
      <c r="B51" s="262" t="s">
        <v>790</v>
      </c>
      <c r="C51" s="262" t="s">
        <v>865</v>
      </c>
      <c r="D51" s="262" t="s">
        <v>858</v>
      </c>
      <c r="E51" s="263" t="s">
        <v>882</v>
      </c>
      <c r="F51" s="393">
        <v>59793</v>
      </c>
      <c r="G51" s="266">
        <v>1620937</v>
      </c>
      <c r="H51" s="266">
        <v>41923</v>
      </c>
      <c r="I51" s="266">
        <v>193655</v>
      </c>
      <c r="J51" s="408">
        <v>1159850.5</v>
      </c>
      <c r="K51" s="413">
        <v>1650000</v>
      </c>
      <c r="R51" s="397"/>
    </row>
    <row r="52" spans="1:18" ht="18.75" x14ac:dyDescent="0.3">
      <c r="A52" s="270">
        <v>50</v>
      </c>
      <c r="B52" s="262" t="s">
        <v>790</v>
      </c>
      <c r="C52" s="262" t="s">
        <v>866</v>
      </c>
      <c r="D52" s="262" t="s">
        <v>867</v>
      </c>
      <c r="E52" s="263" t="s">
        <v>882</v>
      </c>
      <c r="F52" s="393">
        <v>58890</v>
      </c>
      <c r="G52" s="402">
        <v>2867211</v>
      </c>
      <c r="H52" s="402">
        <v>434805</v>
      </c>
      <c r="I52" s="402">
        <v>451625</v>
      </c>
      <c r="J52" s="408">
        <v>2461848.62</v>
      </c>
      <c r="K52" s="413">
        <v>3325000</v>
      </c>
      <c r="R52" s="397"/>
    </row>
    <row r="53" spans="1:18" ht="18.75" x14ac:dyDescent="0.3">
      <c r="A53" s="270">
        <v>51</v>
      </c>
      <c r="B53" s="262" t="s">
        <v>790</v>
      </c>
      <c r="C53" s="262" t="s">
        <v>868</v>
      </c>
      <c r="D53" s="262" t="s">
        <v>794</v>
      </c>
      <c r="E53" s="263" t="s">
        <v>882</v>
      </c>
      <c r="F53" s="393">
        <v>58889</v>
      </c>
      <c r="G53" s="266">
        <v>2835000</v>
      </c>
      <c r="H53" s="266">
        <v>397560</v>
      </c>
      <c r="I53" s="266">
        <v>468835</v>
      </c>
      <c r="J53" s="408">
        <v>2432949.6</v>
      </c>
      <c r="K53" s="413">
        <v>3500000</v>
      </c>
      <c r="R53" s="397"/>
    </row>
    <row r="54" spans="1:18" ht="18.75" x14ac:dyDescent="0.3">
      <c r="A54" s="270">
        <v>52</v>
      </c>
      <c r="B54" s="262" t="s">
        <v>790</v>
      </c>
      <c r="C54" s="262" t="s">
        <v>869</v>
      </c>
      <c r="D54" s="262" t="s">
        <v>867</v>
      </c>
      <c r="E54" s="263" t="s">
        <v>882</v>
      </c>
      <c r="F54" s="393">
        <v>68569</v>
      </c>
      <c r="G54" s="266">
        <v>999000</v>
      </c>
      <c r="H54" s="265">
        <v>0</v>
      </c>
      <c r="I54" s="265">
        <v>0</v>
      </c>
      <c r="J54" s="408">
        <v>939060</v>
      </c>
      <c r="K54" s="413">
        <v>1800000</v>
      </c>
      <c r="R54" s="397"/>
    </row>
    <row r="55" spans="1:18" ht="18.75" x14ac:dyDescent="0.3">
      <c r="A55" s="270">
        <v>53</v>
      </c>
      <c r="B55" s="262" t="s">
        <v>790</v>
      </c>
      <c r="C55" s="262" t="s">
        <v>870</v>
      </c>
      <c r="D55" s="262" t="s">
        <v>794</v>
      </c>
      <c r="E55" s="263" t="s">
        <v>882</v>
      </c>
      <c r="F55" s="393">
        <v>60074</v>
      </c>
      <c r="G55" s="266">
        <v>2677500</v>
      </c>
      <c r="H55" s="266">
        <v>358827</v>
      </c>
      <c r="I55" s="266">
        <v>684019</v>
      </c>
      <c r="J55" s="408">
        <v>2069259.02</v>
      </c>
      <c r="K55" s="413">
        <v>3300000</v>
      </c>
      <c r="R55" s="397"/>
    </row>
    <row r="56" spans="1:18" ht="18.75" x14ac:dyDescent="0.3">
      <c r="A56" s="270">
        <v>54</v>
      </c>
      <c r="B56" s="262" t="s">
        <v>803</v>
      </c>
      <c r="C56" s="262" t="s">
        <v>871</v>
      </c>
      <c r="D56" s="262" t="s">
        <v>872</v>
      </c>
      <c r="E56" s="263" t="s">
        <v>882</v>
      </c>
      <c r="F56" s="393">
        <v>53224</v>
      </c>
      <c r="G56" s="266">
        <v>3780000</v>
      </c>
      <c r="H56" s="266">
        <v>332789</v>
      </c>
      <c r="I56" s="266">
        <v>1553177</v>
      </c>
      <c r="J56" s="408">
        <v>2056526.3</v>
      </c>
      <c r="K56" s="413">
        <v>4602065</v>
      </c>
      <c r="R56" s="397"/>
    </row>
    <row r="57" spans="1:18" ht="18.75" x14ac:dyDescent="0.3">
      <c r="A57" s="270">
        <v>55</v>
      </c>
      <c r="B57" s="262" t="s">
        <v>803</v>
      </c>
      <c r="C57" s="262" t="s">
        <v>873</v>
      </c>
      <c r="D57" s="262" t="s">
        <v>792</v>
      </c>
      <c r="E57" s="263" t="s">
        <v>882</v>
      </c>
      <c r="F57" s="393">
        <v>66142</v>
      </c>
      <c r="G57" s="266">
        <v>1980000</v>
      </c>
      <c r="H57" s="266">
        <v>178200</v>
      </c>
      <c r="I57" s="265">
        <v>0</v>
      </c>
      <c r="J57" s="408">
        <v>2039400</v>
      </c>
      <c r="K57" s="413">
        <v>2400000</v>
      </c>
      <c r="R57" s="397"/>
    </row>
    <row r="58" spans="1:18" ht="18.75" x14ac:dyDescent="0.3">
      <c r="A58" s="270">
        <v>56</v>
      </c>
      <c r="B58" s="262" t="s">
        <v>790</v>
      </c>
      <c r="C58" s="262" t="s">
        <v>874</v>
      </c>
      <c r="D58" s="262" t="s">
        <v>855</v>
      </c>
      <c r="E58" s="263" t="s">
        <v>882</v>
      </c>
      <c r="F58" s="393">
        <v>68567</v>
      </c>
      <c r="G58" s="266">
        <v>912000</v>
      </c>
      <c r="H58" s="265">
        <v>0</v>
      </c>
      <c r="I58" s="265">
        <v>0</v>
      </c>
      <c r="J58" s="408">
        <v>857280</v>
      </c>
      <c r="K58" s="413">
        <v>2350000</v>
      </c>
      <c r="R58" s="397"/>
    </row>
    <row r="59" spans="1:18" ht="18.75" x14ac:dyDescent="0.3">
      <c r="A59" s="270">
        <v>57</v>
      </c>
      <c r="B59" s="262" t="s">
        <v>803</v>
      </c>
      <c r="C59" s="262" t="s">
        <v>875</v>
      </c>
      <c r="D59" s="262" t="s">
        <v>792</v>
      </c>
      <c r="E59" s="263" t="s">
        <v>882</v>
      </c>
      <c r="F59" s="393">
        <v>53223</v>
      </c>
      <c r="G59" s="266">
        <v>1732500</v>
      </c>
      <c r="H59" s="266">
        <v>168154</v>
      </c>
      <c r="I59" s="266">
        <v>179561</v>
      </c>
      <c r="J59" s="408">
        <v>1092670.0900000001</v>
      </c>
      <c r="K59" s="413">
        <v>1700000</v>
      </c>
      <c r="R59" s="397"/>
    </row>
    <row r="60" spans="1:18" ht="18.75" x14ac:dyDescent="0.3">
      <c r="A60" s="270">
        <v>58</v>
      </c>
      <c r="B60" s="262" t="s">
        <v>876</v>
      </c>
      <c r="C60" s="262" t="s">
        <v>877</v>
      </c>
      <c r="D60" s="262" t="s">
        <v>809</v>
      </c>
      <c r="E60" s="263" t="s">
        <v>882</v>
      </c>
      <c r="F60" s="393">
        <v>67107</v>
      </c>
      <c r="G60" s="266">
        <v>2388750</v>
      </c>
      <c r="H60" s="266">
        <v>429975</v>
      </c>
      <c r="I60" s="265">
        <v>0</v>
      </c>
      <c r="J60" s="408">
        <v>2675400</v>
      </c>
      <c r="K60" s="413">
        <v>3400000</v>
      </c>
      <c r="R60" s="397"/>
    </row>
    <row r="61" spans="1:18" ht="18.75" x14ac:dyDescent="0.3">
      <c r="A61" s="270">
        <v>59</v>
      </c>
      <c r="B61" s="262" t="s">
        <v>790</v>
      </c>
      <c r="C61" s="262" t="s">
        <v>878</v>
      </c>
      <c r="D61" s="262" t="s">
        <v>858</v>
      </c>
      <c r="E61" s="263" t="s">
        <v>882</v>
      </c>
      <c r="F61" s="393">
        <v>68565</v>
      </c>
      <c r="G61" s="266">
        <v>255938</v>
      </c>
      <c r="H61" s="265">
        <v>0</v>
      </c>
      <c r="I61" s="265">
        <v>0</v>
      </c>
      <c r="J61" s="408">
        <v>240581.7</v>
      </c>
      <c r="K61" s="413">
        <v>1700000</v>
      </c>
      <c r="R61" s="397"/>
    </row>
    <row r="62" spans="1:18" ht="18.75" x14ac:dyDescent="0.3">
      <c r="A62" s="270">
        <v>60</v>
      </c>
      <c r="B62" s="262" t="s">
        <v>803</v>
      </c>
      <c r="C62" s="262" t="s">
        <v>879</v>
      </c>
      <c r="D62" s="262" t="s">
        <v>827</v>
      </c>
      <c r="E62" s="263" t="s">
        <v>882</v>
      </c>
      <c r="F62" s="393">
        <v>51974</v>
      </c>
      <c r="G62" s="266">
        <v>3491250</v>
      </c>
      <c r="H62" s="266">
        <v>312650</v>
      </c>
      <c r="I62" s="266">
        <v>1754308</v>
      </c>
      <c r="J62" s="408">
        <v>1795141</v>
      </c>
      <c r="K62" s="413">
        <v>3600000</v>
      </c>
      <c r="R62" s="397"/>
    </row>
    <row r="63" spans="1:18" ht="18.75" x14ac:dyDescent="0.3">
      <c r="A63" s="272">
        <v>61</v>
      </c>
      <c r="B63" s="264" t="s">
        <v>859</v>
      </c>
      <c r="C63" t="s">
        <v>791</v>
      </c>
      <c r="D63" s="264" t="s">
        <v>792</v>
      </c>
      <c r="E63" s="263" t="s">
        <v>882</v>
      </c>
      <c r="F63" s="408">
        <v>60115</v>
      </c>
      <c r="G63" s="407">
        <v>2103750</v>
      </c>
      <c r="H63" s="406">
        <v>641407.24</v>
      </c>
      <c r="I63" s="405">
        <v>263221.7</v>
      </c>
      <c r="J63" s="408">
        <v>1519622.27</v>
      </c>
      <c r="K63" s="413">
        <v>2550000</v>
      </c>
      <c r="R63" s="397"/>
    </row>
    <row r="64" spans="1:18" ht="18.75" x14ac:dyDescent="0.3">
      <c r="A64" s="272">
        <v>62</v>
      </c>
      <c r="B64" s="262" t="s">
        <v>803</v>
      </c>
      <c r="C64" s="264" t="s">
        <v>908</v>
      </c>
      <c r="D64" s="264" t="s">
        <v>807</v>
      </c>
      <c r="E64" s="263" t="s">
        <v>882</v>
      </c>
      <c r="F64" s="408">
        <v>70036</v>
      </c>
      <c r="G64" s="264"/>
      <c r="H64" s="264"/>
      <c r="I64" s="264"/>
      <c r="J64" s="412"/>
      <c r="K64" s="413">
        <v>2000000</v>
      </c>
      <c r="R64" s="397"/>
    </row>
    <row r="65" spans="1:18" ht="19.5" thickBot="1" x14ac:dyDescent="0.35">
      <c r="A65" s="273">
        <v>63</v>
      </c>
      <c r="B65" s="274" t="s">
        <v>849</v>
      </c>
      <c r="C65" s="400" t="s">
        <v>909</v>
      </c>
      <c r="D65" s="274" t="s">
        <v>798</v>
      </c>
      <c r="E65" s="263" t="s">
        <v>882</v>
      </c>
      <c r="F65" s="418">
        <v>70074</v>
      </c>
      <c r="G65" s="274"/>
      <c r="H65" s="274"/>
      <c r="I65" s="274"/>
      <c r="J65" s="414"/>
      <c r="K65" s="415">
        <v>2000000</v>
      </c>
      <c r="L65" s="398"/>
      <c r="M65" s="398"/>
      <c r="N65" s="398"/>
      <c r="O65" s="398"/>
      <c r="P65" s="398"/>
      <c r="Q65" s="398"/>
      <c r="R65" s="399"/>
    </row>
    <row r="66" spans="1:18" x14ac:dyDescent="0.25">
      <c r="A66" s="416"/>
      <c r="B66" s="416"/>
      <c r="C66" s="416"/>
      <c r="D66" s="416"/>
      <c r="E66" s="416"/>
      <c r="F66" s="416"/>
      <c r="G66" s="416"/>
      <c r="H66" s="416"/>
      <c r="I66" s="416"/>
      <c r="J66" s="416"/>
      <c r="K66" s="417"/>
    </row>
    <row r="67" spans="1:18" x14ac:dyDescent="0.25">
      <c r="A67" s="272"/>
      <c r="B67" s="264"/>
      <c r="C67" s="264"/>
      <c r="D67" s="264"/>
      <c r="E67" s="264"/>
      <c r="F67" s="264"/>
      <c r="G67" s="264"/>
      <c r="H67" s="264"/>
      <c r="I67" s="264"/>
      <c r="J67" s="264"/>
      <c r="K67" s="271"/>
    </row>
    <row r="68" spans="1:18" x14ac:dyDescent="0.25">
      <c r="A68" s="272"/>
      <c r="B68" s="264"/>
      <c r="C68" s="264"/>
      <c r="D68" s="264"/>
      <c r="E68" s="264"/>
      <c r="F68" s="264"/>
      <c r="G68" s="264"/>
      <c r="H68" s="264"/>
      <c r="I68" s="264"/>
      <c r="J68" s="264"/>
      <c r="K68" s="271"/>
    </row>
    <row r="69" spans="1:18" x14ac:dyDescent="0.25">
      <c r="A69" s="272"/>
      <c r="B69" s="264"/>
      <c r="C69" s="264"/>
      <c r="D69" s="264"/>
      <c r="E69" s="264"/>
      <c r="F69" s="264"/>
      <c r="G69" s="264"/>
      <c r="H69" s="264"/>
      <c r="I69" s="264"/>
      <c r="J69" s="264"/>
      <c r="K69" s="271"/>
    </row>
    <row r="70" spans="1:18" x14ac:dyDescent="0.25">
      <c r="A70" s="272"/>
      <c r="B70" s="264"/>
      <c r="C70" s="264"/>
      <c r="D70" s="264"/>
      <c r="E70" s="264"/>
      <c r="F70" s="264"/>
      <c r="G70" s="264"/>
      <c r="H70" s="264"/>
      <c r="I70" s="264"/>
      <c r="J70" s="264"/>
      <c r="K70" s="271"/>
    </row>
    <row r="71" spans="1:18" x14ac:dyDescent="0.25">
      <c r="A71" s="272"/>
      <c r="B71" s="264"/>
      <c r="C71" s="264"/>
      <c r="D71" s="264"/>
      <c r="E71" s="264"/>
      <c r="F71" s="264"/>
      <c r="G71" s="264"/>
      <c r="H71" s="264"/>
      <c r="I71" s="264"/>
      <c r="J71" s="264"/>
      <c r="K71" s="271"/>
    </row>
    <row r="72" spans="1:18" x14ac:dyDescent="0.25">
      <c r="A72" s="272"/>
      <c r="B72" s="264"/>
      <c r="C72" s="264"/>
      <c r="D72" s="264"/>
      <c r="E72" s="264"/>
      <c r="F72" s="264"/>
      <c r="G72" s="264"/>
      <c r="H72" s="264"/>
      <c r="I72" s="264"/>
      <c r="J72" s="264"/>
      <c r="K72" s="271"/>
    </row>
    <row r="73" spans="1:18" x14ac:dyDescent="0.25">
      <c r="A73" s="272"/>
      <c r="B73" s="264"/>
      <c r="C73" s="264"/>
      <c r="D73" s="264"/>
      <c r="E73" s="264"/>
      <c r="F73" s="264"/>
      <c r="G73" s="264"/>
      <c r="H73" s="264"/>
      <c r="I73" s="264"/>
      <c r="J73" s="264"/>
      <c r="K73" s="271"/>
    </row>
    <row r="74" spans="1:18" x14ac:dyDescent="0.25">
      <c r="A74" s="272"/>
      <c r="B74" s="264"/>
      <c r="C74" s="264"/>
      <c r="D74" s="264"/>
      <c r="E74" s="264"/>
      <c r="F74" s="264"/>
      <c r="G74" s="264"/>
      <c r="H74" s="264"/>
      <c r="I74" s="264"/>
      <c r="J74" s="264"/>
      <c r="K74" s="271"/>
    </row>
    <row r="75" spans="1:18" x14ac:dyDescent="0.25">
      <c r="A75" s="272"/>
      <c r="B75" s="264"/>
      <c r="C75" s="264"/>
      <c r="D75" s="264"/>
      <c r="E75" s="264"/>
      <c r="F75" s="264"/>
      <c r="G75" s="264"/>
      <c r="H75" s="264"/>
      <c r="I75" s="264"/>
      <c r="J75" s="264"/>
      <c r="K75" s="271"/>
    </row>
    <row r="76" spans="1:18" x14ac:dyDescent="0.25">
      <c r="A76" s="272"/>
      <c r="B76" s="264"/>
      <c r="C76" s="264"/>
      <c r="D76" s="264"/>
      <c r="E76" s="264"/>
      <c r="F76" s="264"/>
      <c r="G76" s="264"/>
      <c r="H76" s="264"/>
      <c r="I76" s="264"/>
      <c r="J76" s="264"/>
      <c r="K76" s="271"/>
    </row>
    <row r="77" spans="1:18" x14ac:dyDescent="0.25">
      <c r="A77" s="272"/>
      <c r="B77" s="264"/>
      <c r="C77" s="264"/>
      <c r="D77" s="264"/>
      <c r="E77" s="264"/>
      <c r="F77" s="264"/>
      <c r="G77" s="264"/>
      <c r="H77" s="264"/>
      <c r="I77" s="264"/>
      <c r="J77" s="264"/>
      <c r="K77" s="271"/>
    </row>
    <row r="78" spans="1:18" x14ac:dyDescent="0.25">
      <c r="A78" s="272"/>
      <c r="B78" s="264"/>
      <c r="C78" s="264"/>
      <c r="D78" s="264"/>
      <c r="E78" s="264"/>
      <c r="F78" s="264"/>
      <c r="G78" s="264"/>
      <c r="H78" s="264"/>
      <c r="I78" s="264"/>
      <c r="J78" s="264"/>
      <c r="K78" s="271"/>
    </row>
    <row r="79" spans="1:18" ht="15.75" thickBot="1" x14ac:dyDescent="0.3">
      <c r="A79" s="273"/>
      <c r="B79" s="274"/>
      <c r="C79" s="274"/>
      <c r="D79" s="274"/>
      <c r="E79" s="274"/>
      <c r="F79" s="274"/>
      <c r="G79" s="274"/>
      <c r="H79" s="274"/>
      <c r="I79" s="274"/>
      <c r="J79" s="274"/>
      <c r="K79" s="275"/>
    </row>
  </sheetData>
  <mergeCells count="1">
    <mergeCell ref="A1:R1"/>
  </mergeCells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BY318"/>
  <sheetViews>
    <sheetView zoomScale="85" zoomScaleNormal="85" zoomScaleSheetLayoutView="85" workbookViewId="0">
      <pane xSplit="1" ySplit="4" topLeftCell="L308" activePane="bottomRight" state="frozen"/>
      <selection pane="topRight" activeCell="B1" sqref="B1"/>
      <selection pane="bottomLeft" activeCell="A5" sqref="A5"/>
      <selection pane="bottomRight" activeCell="T318" sqref="T318"/>
    </sheetView>
  </sheetViews>
  <sheetFormatPr defaultColWidth="9" defaultRowHeight="30" customHeight="1" x14ac:dyDescent="0.25"/>
  <cols>
    <col min="1" max="1" width="15.42578125" style="1" bestFit="1" customWidth="1"/>
    <col min="2" max="2" width="30" style="2" customWidth="1"/>
    <col min="3" max="3" width="13.42578125" style="2" bestFit="1" customWidth="1"/>
    <col min="4" max="4" width="14.42578125" style="2" customWidth="1"/>
    <col min="5" max="5" width="13.5703125" style="2" bestFit="1" customWidth="1"/>
    <col min="6" max="7" width="13.42578125" style="2" customWidth="1"/>
    <col min="8" max="8" width="14.5703125" style="7" customWidth="1"/>
    <col min="9" max="9" width="13" style="7" customWidth="1"/>
    <col min="10" max="10" width="13.85546875" style="2" customWidth="1"/>
    <col min="11" max="11" width="14.5703125" style="2" bestFit="1" customWidth="1"/>
    <col min="12" max="12" width="15.5703125" style="2" bestFit="1" customWidth="1"/>
    <col min="13" max="13" width="18.42578125" style="2" customWidth="1"/>
    <col min="14" max="14" width="18.140625" style="2" bestFit="1" customWidth="1"/>
    <col min="15" max="15" width="16.140625" style="2" customWidth="1"/>
    <col min="16" max="16" width="20.140625" style="2" customWidth="1"/>
    <col min="17" max="17" width="14.5703125" style="129" bestFit="1" customWidth="1"/>
    <col min="18" max="18" width="18.5703125" style="2" customWidth="1"/>
    <col min="19" max="19" width="18.42578125" style="7" customWidth="1"/>
    <col min="20" max="20" width="18.42578125" style="111" bestFit="1" customWidth="1"/>
    <col min="21" max="21" width="110" style="2" bestFit="1" customWidth="1"/>
    <col min="22" max="22" width="18.85546875" style="2" customWidth="1"/>
    <col min="23" max="23" width="16.42578125" style="2" customWidth="1"/>
    <col min="24" max="16384" width="9" style="2"/>
  </cols>
  <sheetData>
    <row r="1" spans="1:77" ht="30" customHeight="1" thickBot="1" x14ac:dyDescent="0.3">
      <c r="B1" s="1" t="s">
        <v>0</v>
      </c>
      <c r="H1" s="3"/>
      <c r="I1" s="3"/>
    </row>
    <row r="2" spans="1:77" ht="30" customHeight="1" thickBot="1" x14ac:dyDescent="0.3">
      <c r="B2" s="4" t="s">
        <v>1</v>
      </c>
      <c r="C2" s="5"/>
      <c r="D2" s="5" t="s">
        <v>2</v>
      </c>
      <c r="G2" s="6"/>
      <c r="I2" s="23" t="s">
        <v>3</v>
      </c>
      <c r="J2" s="8"/>
      <c r="K2" s="8"/>
      <c r="L2" s="8"/>
      <c r="M2" s="8"/>
      <c r="N2" s="8"/>
      <c r="O2" s="8"/>
      <c r="P2" s="8"/>
      <c r="Q2" s="130"/>
      <c r="R2" s="8"/>
      <c r="S2" s="62" t="s">
        <v>388</v>
      </c>
    </row>
    <row r="3" spans="1:77" ht="30" customHeight="1" thickBot="1" x14ac:dyDescent="0.3">
      <c r="B3" s="9"/>
      <c r="C3" s="9"/>
      <c r="D3" s="9"/>
      <c r="E3" s="9"/>
      <c r="F3" s="8"/>
      <c r="G3" s="8"/>
      <c r="H3" s="10"/>
      <c r="I3" s="10"/>
      <c r="J3" s="8"/>
      <c r="K3" s="8"/>
      <c r="L3" s="8"/>
      <c r="M3" s="8"/>
      <c r="Q3" s="131">
        <v>45412</v>
      </c>
      <c r="R3" s="8"/>
      <c r="S3" s="62"/>
      <c r="T3" s="63"/>
      <c r="U3" s="11"/>
    </row>
    <row r="4" spans="1:77" ht="30" customHeight="1" x14ac:dyDescent="0.25">
      <c r="A4" s="57"/>
      <c r="B4" s="66" t="s">
        <v>4</v>
      </c>
      <c r="C4" s="66" t="s">
        <v>5</v>
      </c>
      <c r="D4" s="66" t="s">
        <v>6</v>
      </c>
      <c r="E4" s="66" t="s">
        <v>7</v>
      </c>
      <c r="F4" s="66" t="s">
        <v>8</v>
      </c>
      <c r="G4" s="67" t="s">
        <v>9</v>
      </c>
      <c r="H4" s="68" t="s">
        <v>10</v>
      </c>
      <c r="I4" s="69" t="s">
        <v>11</v>
      </c>
      <c r="J4" s="67" t="s">
        <v>12</v>
      </c>
      <c r="K4" s="67" t="s">
        <v>13</v>
      </c>
      <c r="L4" s="67" t="s">
        <v>14</v>
      </c>
      <c r="M4" s="67" t="s">
        <v>15</v>
      </c>
      <c r="N4" s="67" t="s">
        <v>16</v>
      </c>
      <c r="O4" s="67" t="s">
        <v>166</v>
      </c>
      <c r="P4" s="67" t="s">
        <v>17</v>
      </c>
      <c r="Q4" s="458"/>
      <c r="R4" s="67" t="s">
        <v>18</v>
      </c>
      <c r="S4" s="70"/>
      <c r="T4" s="71" t="s">
        <v>19</v>
      </c>
      <c r="U4" s="67" t="s">
        <v>20</v>
      </c>
      <c r="V4" s="72" t="s">
        <v>271</v>
      </c>
    </row>
    <row r="5" spans="1:77" ht="30" customHeight="1" thickBot="1" x14ac:dyDescent="0.3">
      <c r="A5" s="92"/>
      <c r="B5" s="78"/>
      <c r="C5" s="78"/>
      <c r="D5" s="78"/>
      <c r="E5" s="78"/>
      <c r="F5" s="78"/>
      <c r="G5" s="78"/>
      <c r="H5" s="93">
        <v>0.18</v>
      </c>
      <c r="I5" s="78"/>
      <c r="J5" s="93">
        <v>0.01</v>
      </c>
      <c r="K5" s="93">
        <v>0.05</v>
      </c>
      <c r="L5" s="93">
        <v>0</v>
      </c>
      <c r="M5" s="93">
        <v>0.1</v>
      </c>
      <c r="N5" s="93">
        <v>0.18</v>
      </c>
      <c r="O5" s="93"/>
      <c r="P5" s="78"/>
      <c r="Q5" s="459"/>
      <c r="R5" s="78"/>
      <c r="S5" s="78"/>
      <c r="T5" s="80"/>
      <c r="U5" s="78"/>
      <c r="V5" s="79"/>
    </row>
    <row r="6" spans="1:77" s="29" customFormat="1" ht="30" customHeight="1" x14ac:dyDescent="0.25">
      <c r="A6" s="88">
        <v>51974</v>
      </c>
      <c r="B6" s="21"/>
      <c r="C6" s="21"/>
      <c r="D6" s="21"/>
      <c r="E6" s="21"/>
      <c r="F6" s="21"/>
      <c r="G6" s="21"/>
      <c r="H6" s="89"/>
      <c r="I6" s="21"/>
      <c r="J6" s="89"/>
      <c r="K6" s="89"/>
      <c r="L6" s="89"/>
      <c r="M6" s="89"/>
      <c r="N6" s="89"/>
      <c r="O6" s="89"/>
      <c r="P6" s="21"/>
      <c r="Q6" s="90">
        <f>A6</f>
        <v>51974</v>
      </c>
      <c r="R6" s="21"/>
      <c r="S6" s="21"/>
      <c r="T6" s="112"/>
      <c r="U6" s="21"/>
      <c r="V6" s="91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</row>
    <row r="7" spans="1:77" ht="30" customHeight="1" x14ac:dyDescent="0.25">
      <c r="A7" s="17">
        <v>3675000</v>
      </c>
      <c r="B7" s="31" t="s">
        <v>327</v>
      </c>
      <c r="C7" s="22">
        <v>44962</v>
      </c>
      <c r="D7" s="32">
        <v>15</v>
      </c>
      <c r="E7" s="12">
        <f>2910000*55%</f>
        <v>1600500.0000000002</v>
      </c>
      <c r="F7" s="12">
        <v>1109752.83</v>
      </c>
      <c r="G7" s="12">
        <f>ROUND(E7-F7,)</f>
        <v>490747</v>
      </c>
      <c r="H7" s="12">
        <f>ROUND(G7*$H$5,0)</f>
        <v>88334</v>
      </c>
      <c r="I7" s="12">
        <f>G7+H7</f>
        <v>579081</v>
      </c>
      <c r="J7" s="12">
        <f>ROUND(G7*$J$5,)</f>
        <v>4907</v>
      </c>
      <c r="K7" s="12">
        <f>ROUND(G7*$K$5,)</f>
        <v>24537</v>
      </c>
      <c r="L7" s="12">
        <f>ROUND(G7*$L$5,)</f>
        <v>0</v>
      </c>
      <c r="M7" s="12">
        <f>ROUND(G7*$M$5,)</f>
        <v>49075</v>
      </c>
      <c r="N7" s="96">
        <f>H7</f>
        <v>88334</v>
      </c>
      <c r="O7" s="12"/>
      <c r="P7" s="12">
        <f>ROUND(I7-SUM(J7:N7),0)</f>
        <v>412228</v>
      </c>
      <c r="Q7" s="59"/>
      <c r="R7" s="12" t="s">
        <v>21</v>
      </c>
      <c r="S7" s="12">
        <v>500000</v>
      </c>
      <c r="T7" s="26">
        <v>495000</v>
      </c>
      <c r="U7" s="14" t="s">
        <v>22</v>
      </c>
      <c r="V7" s="14"/>
    </row>
    <row r="8" spans="1:77" ht="30" customHeight="1" x14ac:dyDescent="0.25">
      <c r="A8" s="17"/>
      <c r="B8" s="31"/>
      <c r="C8" s="22">
        <v>44998</v>
      </c>
      <c r="D8" s="32">
        <v>25</v>
      </c>
      <c r="E8" s="12">
        <f>(3381796*55%)-E7</f>
        <v>259487.79999999981</v>
      </c>
      <c r="F8" s="12">
        <v>0</v>
      </c>
      <c r="G8" s="12">
        <f>ROUND(E8-F8,)</f>
        <v>259488</v>
      </c>
      <c r="H8" s="12">
        <f>ROUND(G8*$H$5,0)</f>
        <v>46708</v>
      </c>
      <c r="I8" s="12">
        <f>G8+H8</f>
        <v>306196</v>
      </c>
      <c r="J8" s="12">
        <f>ROUND(G8*$J$5,)</f>
        <v>2595</v>
      </c>
      <c r="K8" s="12">
        <f>ROUND(G8*$K$5,)</f>
        <v>12974</v>
      </c>
      <c r="L8" s="12">
        <f>ROUND(G8*$L$5,)</f>
        <v>0</v>
      </c>
      <c r="M8" s="12">
        <f>ROUND(G8*$M$5,)</f>
        <v>25949</v>
      </c>
      <c r="N8" s="96">
        <f>H8</f>
        <v>46708</v>
      </c>
      <c r="O8" s="12"/>
      <c r="P8" s="12">
        <f>ROUND(I8-SUM(J8:N8),0)</f>
        <v>217970</v>
      </c>
      <c r="Q8" s="59" t="s">
        <v>390</v>
      </c>
      <c r="R8" s="12" t="s">
        <v>23</v>
      </c>
      <c r="S8" s="12">
        <v>300000</v>
      </c>
      <c r="T8" s="26">
        <v>297000</v>
      </c>
      <c r="U8" s="14" t="s">
        <v>24</v>
      </c>
      <c r="V8" s="14"/>
    </row>
    <row r="9" spans="1:77" ht="30" customHeight="1" x14ac:dyDescent="0.25">
      <c r="A9" s="17" t="s">
        <v>112</v>
      </c>
      <c r="B9" s="31"/>
      <c r="C9" s="22">
        <v>45139</v>
      </c>
      <c r="D9" s="32">
        <v>40</v>
      </c>
      <c r="E9" s="12">
        <v>161262.20000000019</v>
      </c>
      <c r="F9" s="12">
        <v>0</v>
      </c>
      <c r="G9" s="12">
        <v>161262</v>
      </c>
      <c r="H9" s="12">
        <v>29027</v>
      </c>
      <c r="I9" s="12">
        <v>190289</v>
      </c>
      <c r="J9" s="12">
        <v>1613</v>
      </c>
      <c r="K9" s="12">
        <v>8063</v>
      </c>
      <c r="L9" s="12">
        <v>0</v>
      </c>
      <c r="M9" s="12">
        <v>16126</v>
      </c>
      <c r="N9" s="96">
        <v>29027</v>
      </c>
      <c r="O9" s="12"/>
      <c r="P9" s="12">
        <v>135460</v>
      </c>
      <c r="Q9" s="59" t="s">
        <v>390</v>
      </c>
      <c r="R9" s="12" t="s">
        <v>25</v>
      </c>
      <c r="S9" s="12">
        <v>300000</v>
      </c>
      <c r="T9" s="26">
        <v>297000</v>
      </c>
      <c r="U9" s="14" t="s">
        <v>26</v>
      </c>
      <c r="V9" s="14"/>
    </row>
    <row r="10" spans="1:77" ht="30" customHeight="1" x14ac:dyDescent="0.25">
      <c r="A10" s="17"/>
      <c r="B10" s="31"/>
      <c r="C10" s="22">
        <v>45150</v>
      </c>
      <c r="D10" s="95">
        <v>67214</v>
      </c>
      <c r="E10" s="12">
        <v>551250</v>
      </c>
      <c r="F10" s="12">
        <v>204707.53</v>
      </c>
      <c r="G10" s="12">
        <f>ROUND(E10-F10,)</f>
        <v>346542</v>
      </c>
      <c r="H10" s="12">
        <f>ROUND(G10*$H$5,0)</f>
        <v>62378</v>
      </c>
      <c r="I10" s="12">
        <f>G10+H10</f>
        <v>408920</v>
      </c>
      <c r="J10" s="12">
        <f>ROUND(G10*$J$5,)</f>
        <v>3465</v>
      </c>
      <c r="K10" s="12">
        <f>ROUND(G10*$K$5,)</f>
        <v>17327</v>
      </c>
      <c r="L10" s="12">
        <f>ROUND(G10*$L$5,)</f>
        <v>0</v>
      </c>
      <c r="M10" s="12">
        <f>ROUND(G10*$M$5,)</f>
        <v>34654</v>
      </c>
      <c r="N10" s="96">
        <f>H10</f>
        <v>62378</v>
      </c>
      <c r="O10" s="12"/>
      <c r="P10" s="12">
        <f>ROUND(I10-SUM(J10:N10),0)</f>
        <v>291096</v>
      </c>
      <c r="Q10" s="106" t="s">
        <v>418</v>
      </c>
      <c r="R10" s="12" t="s">
        <v>27</v>
      </c>
      <c r="S10" s="12">
        <v>200000</v>
      </c>
      <c r="T10" s="26">
        <v>198000</v>
      </c>
      <c r="U10" s="14" t="s">
        <v>28</v>
      </c>
      <c r="V10" s="14"/>
    </row>
    <row r="11" spans="1:77" ht="30" customHeight="1" x14ac:dyDescent="0.25">
      <c r="A11" s="17"/>
      <c r="B11" s="31" t="s">
        <v>391</v>
      </c>
      <c r="C11" s="22">
        <v>45188</v>
      </c>
      <c r="D11" s="32" t="s">
        <v>446</v>
      </c>
      <c r="E11" s="12">
        <v>367500</v>
      </c>
      <c r="F11" s="12">
        <v>123186</v>
      </c>
      <c r="G11" s="12">
        <f>ROUND(E11-F11,)</f>
        <v>244314</v>
      </c>
      <c r="H11" s="12">
        <f>ROUND(G11*$H$5,0)</f>
        <v>43977</v>
      </c>
      <c r="I11" s="12">
        <f>G11+H11</f>
        <v>288291</v>
      </c>
      <c r="J11" s="12">
        <f>ROUND(G11*$J$5,)</f>
        <v>2443</v>
      </c>
      <c r="K11" s="12">
        <f>ROUND(G11*$K$5,)</f>
        <v>12216</v>
      </c>
      <c r="L11" s="12">
        <f>ROUND(G11*$L$5,)</f>
        <v>0</v>
      </c>
      <c r="M11" s="12">
        <f>ROUND(G11*$M$5,)</f>
        <v>24431</v>
      </c>
      <c r="N11" s="96">
        <f>H11</f>
        <v>43977</v>
      </c>
      <c r="O11" s="12"/>
      <c r="P11" s="12">
        <f>ROUND(I11-SUM(J11:N11),0)</f>
        <v>205224</v>
      </c>
      <c r="Q11" s="105" t="s">
        <v>442</v>
      </c>
      <c r="R11" s="12" t="s">
        <v>128</v>
      </c>
      <c r="S11" s="12">
        <v>500000</v>
      </c>
      <c r="T11" s="26">
        <v>495000</v>
      </c>
      <c r="U11" s="14" t="s">
        <v>127</v>
      </c>
      <c r="V11" s="14"/>
    </row>
    <row r="12" spans="1:77" ht="30" customHeight="1" x14ac:dyDescent="0.25">
      <c r="A12" s="17"/>
      <c r="B12" s="31"/>
      <c r="C12" s="22"/>
      <c r="D12" s="32"/>
      <c r="E12" s="12"/>
      <c r="F12" s="12"/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/>
      <c r="P12" s="12">
        <v>0</v>
      </c>
      <c r="Q12" s="74"/>
      <c r="R12" s="12" t="s">
        <v>214</v>
      </c>
      <c r="S12" s="12">
        <v>500000</v>
      </c>
      <c r="T12" s="26">
        <v>495000</v>
      </c>
      <c r="U12" s="14" t="s">
        <v>213</v>
      </c>
      <c r="V12" s="14"/>
    </row>
    <row r="13" spans="1:77" ht="30" customHeight="1" x14ac:dyDescent="0.25">
      <c r="A13" s="17"/>
      <c r="B13" s="31"/>
      <c r="C13" s="22"/>
      <c r="D13" s="3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74"/>
      <c r="R13" s="12"/>
      <c r="S13" s="12"/>
      <c r="T13" s="26"/>
      <c r="U13" s="14"/>
      <c r="V13" s="14"/>
    </row>
    <row r="14" spans="1:77" ht="30" customHeight="1" x14ac:dyDescent="0.25">
      <c r="A14" s="17"/>
      <c r="B14" s="31"/>
      <c r="C14" s="22"/>
      <c r="D14" s="3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74"/>
      <c r="R14" s="12"/>
      <c r="S14" s="12"/>
      <c r="T14" s="26"/>
      <c r="U14" s="14"/>
      <c r="V14" s="14"/>
    </row>
    <row r="15" spans="1:77" ht="30" customHeight="1" x14ac:dyDescent="0.25">
      <c r="A15" s="17"/>
      <c r="B15" s="31"/>
      <c r="C15" s="22"/>
      <c r="D15" s="32"/>
      <c r="E15" s="12"/>
      <c r="F15" s="12"/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/>
      <c r="P15" s="12">
        <v>0</v>
      </c>
      <c r="Q15" s="74"/>
      <c r="R15" s="12"/>
      <c r="S15" s="12"/>
      <c r="T15" s="26"/>
      <c r="U15" s="14"/>
      <c r="V15" s="14"/>
    </row>
    <row r="16" spans="1:77" ht="30" customHeight="1" x14ac:dyDescent="0.25">
      <c r="A16" s="17"/>
      <c r="B16" s="31"/>
      <c r="C16" s="22"/>
      <c r="D16" s="32"/>
      <c r="E16" s="12"/>
      <c r="F16" s="12"/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/>
      <c r="P16" s="12">
        <v>0</v>
      </c>
      <c r="Q16" s="74"/>
      <c r="R16" s="12"/>
      <c r="S16" s="12"/>
      <c r="T16" s="26"/>
      <c r="U16" s="14"/>
      <c r="V16" s="38">
        <f>SUM(P7:P16)-SUM(T7:T16)</f>
        <v>-1015022</v>
      </c>
    </row>
    <row r="17" spans="1:22" ht="30" customHeight="1" x14ac:dyDescent="0.25">
      <c r="A17" s="24">
        <v>52281</v>
      </c>
      <c r="B17" s="33"/>
      <c r="C17" s="20"/>
      <c r="D17" s="34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73">
        <f>A17</f>
        <v>52281</v>
      </c>
      <c r="R17" s="16"/>
      <c r="S17" s="16"/>
      <c r="T17" s="56"/>
      <c r="U17" s="15"/>
      <c r="V17" s="14"/>
    </row>
    <row r="18" spans="1:22" ht="30" customHeight="1" x14ac:dyDescent="0.25">
      <c r="A18" s="17">
        <v>3675000</v>
      </c>
      <c r="B18" s="31" t="s">
        <v>328</v>
      </c>
      <c r="C18" s="22">
        <v>44964</v>
      </c>
      <c r="D18" s="32">
        <v>16</v>
      </c>
      <c r="E18" s="12">
        <f>2910000*40%</f>
        <v>1164000</v>
      </c>
      <c r="F18" s="12">
        <v>621197.93000000005</v>
      </c>
      <c r="G18" s="12">
        <f>ROUND(E18-F18,)</f>
        <v>542802</v>
      </c>
      <c r="H18" s="12">
        <f>ROUND(G18*$H$5,0)</f>
        <v>97704</v>
      </c>
      <c r="I18" s="12">
        <f>G18+H18</f>
        <v>640506</v>
      </c>
      <c r="J18" s="12">
        <f>ROUND(G18*$J$5,)</f>
        <v>5428</v>
      </c>
      <c r="K18" s="12">
        <f>ROUND(G18*$K$5,)</f>
        <v>27140</v>
      </c>
      <c r="L18" s="12">
        <f>ROUND(G18*$L$5,)</f>
        <v>0</v>
      </c>
      <c r="M18" s="12">
        <f>ROUND(G18*$M$5,)</f>
        <v>54280</v>
      </c>
      <c r="N18" s="96">
        <f>H18</f>
        <v>97704</v>
      </c>
      <c r="O18" s="12"/>
      <c r="P18" s="12">
        <f>ROUND(I18-SUM(J18:N18),0)</f>
        <v>455954</v>
      </c>
      <c r="Q18" s="59"/>
      <c r="R18" s="12" t="s">
        <v>29</v>
      </c>
      <c r="S18" s="12">
        <v>300000</v>
      </c>
      <c r="T18" s="26">
        <f t="shared" ref="T18:T20" si="0">S18-1%*S18</f>
        <v>297000</v>
      </c>
      <c r="U18" s="14" t="s">
        <v>30</v>
      </c>
      <c r="V18" s="14"/>
    </row>
    <row r="19" spans="1:22" ht="30" customHeight="1" x14ac:dyDescent="0.25">
      <c r="A19" s="17"/>
      <c r="B19" s="31"/>
      <c r="C19" s="22">
        <v>44970</v>
      </c>
      <c r="D19" s="32">
        <v>26</v>
      </c>
      <c r="E19" s="12">
        <f>(3381796*40%)-E18</f>
        <v>188718.40000000014</v>
      </c>
      <c r="F19" s="12">
        <v>0</v>
      </c>
      <c r="G19" s="12">
        <f>ROUND(E19-F19,)</f>
        <v>188718</v>
      </c>
      <c r="H19" s="12">
        <f>ROUND(G19*$H$5,0)</f>
        <v>33969</v>
      </c>
      <c r="I19" s="12">
        <f>G19+H19</f>
        <v>222687</v>
      </c>
      <c r="J19" s="12">
        <f>ROUND(G19*$J$5,)</f>
        <v>1887</v>
      </c>
      <c r="K19" s="12">
        <f>ROUND(G19*$K$5,)</f>
        <v>9436</v>
      </c>
      <c r="L19" s="12">
        <f>ROUND(G19*$L$5,)</f>
        <v>0</v>
      </c>
      <c r="M19" s="12">
        <f>ROUND(G19*$M$5,)</f>
        <v>18872</v>
      </c>
      <c r="N19" s="18">
        <f>H19</f>
        <v>33969</v>
      </c>
      <c r="O19" s="12"/>
      <c r="P19" s="12">
        <f>ROUND(I19-SUM(J19:N19),0)</f>
        <v>158523</v>
      </c>
      <c r="Q19" s="59" t="s">
        <v>392</v>
      </c>
      <c r="R19" s="12" t="s">
        <v>31</v>
      </c>
      <c r="S19" s="12">
        <v>600000</v>
      </c>
      <c r="T19" s="26">
        <f t="shared" si="0"/>
        <v>594000</v>
      </c>
      <c r="U19" s="14" t="s">
        <v>32</v>
      </c>
      <c r="V19" s="14"/>
    </row>
    <row r="20" spans="1:22" ht="30" customHeight="1" x14ac:dyDescent="0.25">
      <c r="A20" s="17" t="s">
        <v>111</v>
      </c>
      <c r="B20" s="31"/>
      <c r="C20" s="22">
        <v>45139</v>
      </c>
      <c r="D20" s="32" t="s">
        <v>393</v>
      </c>
      <c r="E20" s="12">
        <v>117281.59999999986</v>
      </c>
      <c r="F20" s="12">
        <v>0</v>
      </c>
      <c r="G20" s="12">
        <v>117282</v>
      </c>
      <c r="H20" s="12">
        <v>21111</v>
      </c>
      <c r="I20" s="12">
        <v>138393</v>
      </c>
      <c r="J20" s="12">
        <v>1173</v>
      </c>
      <c r="K20" s="12">
        <v>5864</v>
      </c>
      <c r="L20" s="12">
        <v>0</v>
      </c>
      <c r="M20" s="12">
        <v>11728</v>
      </c>
      <c r="N20" s="18">
        <v>21111</v>
      </c>
      <c r="O20" s="12"/>
      <c r="P20" s="12">
        <v>98517</v>
      </c>
      <c r="Q20" s="59" t="s">
        <v>392</v>
      </c>
      <c r="R20" s="12" t="s">
        <v>33</v>
      </c>
      <c r="S20" s="12">
        <v>300000</v>
      </c>
      <c r="T20" s="26">
        <f t="shared" si="0"/>
        <v>297000</v>
      </c>
      <c r="U20" s="14" t="s">
        <v>34</v>
      </c>
      <c r="V20" s="14"/>
    </row>
    <row r="21" spans="1:22" ht="30" customHeight="1" x14ac:dyDescent="0.25">
      <c r="A21" s="17"/>
      <c r="B21" s="31"/>
      <c r="C21" s="22">
        <v>45254</v>
      </c>
      <c r="D21" s="32">
        <v>133</v>
      </c>
      <c r="E21" s="12">
        <v>551250</v>
      </c>
      <c r="F21" s="12">
        <v>178849</v>
      </c>
      <c r="G21" s="12">
        <f>E21-F21</f>
        <v>372401</v>
      </c>
      <c r="H21" s="12">
        <f>G21*18%</f>
        <v>67032.179999999993</v>
      </c>
      <c r="I21" s="12">
        <f>G21+H21</f>
        <v>439433.18</v>
      </c>
      <c r="J21" s="12">
        <f>G21*1%</f>
        <v>3724.01</v>
      </c>
      <c r="K21" s="12">
        <f>G21*5%</f>
        <v>18620.05</v>
      </c>
      <c r="L21" s="12"/>
      <c r="M21" s="12">
        <f>G21*10%</f>
        <v>37240.1</v>
      </c>
      <c r="N21" s="96">
        <f>H21</f>
        <v>67032.179999999993</v>
      </c>
      <c r="O21" s="12"/>
      <c r="P21" s="12">
        <f>G21-J21-K21-M21</f>
        <v>312816.84000000003</v>
      </c>
      <c r="Q21" s="59"/>
      <c r="R21" s="12" t="s">
        <v>35</v>
      </c>
      <c r="S21" s="12">
        <v>200000</v>
      </c>
      <c r="T21" s="26">
        <f t="shared" ref="T21:T23" si="1">S21-1%*S21</f>
        <v>198000</v>
      </c>
      <c r="U21" s="14" t="s">
        <v>36</v>
      </c>
      <c r="V21" s="14"/>
    </row>
    <row r="22" spans="1:22" ht="30" customHeight="1" x14ac:dyDescent="0.25">
      <c r="A22" s="17"/>
      <c r="B22" s="31"/>
      <c r="C22" s="22">
        <v>45263</v>
      </c>
      <c r="D22" s="32">
        <v>138</v>
      </c>
      <c r="E22" s="12">
        <v>551250</v>
      </c>
      <c r="F22" s="12">
        <v>160775</v>
      </c>
      <c r="G22" s="12">
        <f>E22-F22</f>
        <v>390475</v>
      </c>
      <c r="H22" s="12">
        <f>G22*18%</f>
        <v>70285.5</v>
      </c>
      <c r="I22" s="12">
        <f>G22+H22</f>
        <v>460760.5</v>
      </c>
      <c r="J22" s="12">
        <f>G22*1%</f>
        <v>3904.75</v>
      </c>
      <c r="K22" s="12">
        <f>G22*5%</f>
        <v>19523.75</v>
      </c>
      <c r="L22" s="12"/>
      <c r="M22" s="12">
        <f>G22*10%</f>
        <v>39047.5</v>
      </c>
      <c r="N22" s="96">
        <f>H22</f>
        <v>70285.5</v>
      </c>
      <c r="O22" s="12"/>
      <c r="P22" s="12">
        <f>G22-J22-K22-M22</f>
        <v>327999</v>
      </c>
      <c r="Q22" s="59"/>
      <c r="R22" s="12" t="s">
        <v>55</v>
      </c>
      <c r="S22" s="12">
        <v>500000</v>
      </c>
      <c r="T22" s="26">
        <f t="shared" si="1"/>
        <v>495000</v>
      </c>
      <c r="U22" s="14" t="s">
        <v>56</v>
      </c>
      <c r="V22" s="14"/>
    </row>
    <row r="23" spans="1:22" ht="30" customHeight="1" x14ac:dyDescent="0.25">
      <c r="A23" s="17"/>
      <c r="B23" s="31" t="s">
        <v>114</v>
      </c>
      <c r="C23" s="22"/>
      <c r="D23" s="32">
        <f>D19</f>
        <v>26</v>
      </c>
      <c r="E23" s="12">
        <f>N19</f>
        <v>33969</v>
      </c>
      <c r="F23" s="12"/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96">
        <v>0</v>
      </c>
      <c r="O23" s="12"/>
      <c r="P23" s="12">
        <f t="shared" ref="P23:P24" si="2">E23</f>
        <v>33969</v>
      </c>
      <c r="Q23" s="59"/>
      <c r="R23" s="12" t="s">
        <v>70</v>
      </c>
      <c r="S23" s="12">
        <v>300000</v>
      </c>
      <c r="T23" s="26">
        <f t="shared" si="1"/>
        <v>297000</v>
      </c>
      <c r="U23" s="14" t="s">
        <v>71</v>
      </c>
      <c r="V23" s="14"/>
    </row>
    <row r="24" spans="1:22" ht="30" customHeight="1" x14ac:dyDescent="0.25">
      <c r="A24" s="17"/>
      <c r="B24" s="31" t="s">
        <v>114</v>
      </c>
      <c r="C24" s="22"/>
      <c r="D24" s="32" t="str">
        <f>D20</f>
        <v>38,29</v>
      </c>
      <c r="E24" s="12">
        <f>N20</f>
        <v>21111</v>
      </c>
      <c r="F24" s="12"/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96">
        <v>0</v>
      </c>
      <c r="O24" s="12"/>
      <c r="P24" s="12">
        <f t="shared" si="2"/>
        <v>21111</v>
      </c>
      <c r="Q24" s="59"/>
      <c r="R24" s="12" t="s">
        <v>179</v>
      </c>
      <c r="S24" s="12">
        <v>500000</v>
      </c>
      <c r="T24" s="26">
        <f>S24-1%*S24</f>
        <v>495000</v>
      </c>
      <c r="U24" s="14" t="s">
        <v>215</v>
      </c>
      <c r="V24" s="14"/>
    </row>
    <row r="25" spans="1:22" ht="30" customHeight="1" x14ac:dyDescent="0.25">
      <c r="A25" s="17"/>
      <c r="B25" s="31" t="s">
        <v>391</v>
      </c>
      <c r="C25" s="22">
        <v>45318</v>
      </c>
      <c r="D25" s="32">
        <v>177</v>
      </c>
      <c r="E25" s="12">
        <v>367500</v>
      </c>
      <c r="F25" s="12">
        <v>127837</v>
      </c>
      <c r="G25" s="12">
        <f>E25-F25</f>
        <v>239663</v>
      </c>
      <c r="H25" s="12">
        <f>G25*18%</f>
        <v>43139.34</v>
      </c>
      <c r="I25" s="12">
        <f>G25+H25</f>
        <v>282802.33999999997</v>
      </c>
      <c r="J25" s="12">
        <f>G25*1%</f>
        <v>2396.63</v>
      </c>
      <c r="K25" s="12">
        <f>G25*5%</f>
        <v>11983.150000000001</v>
      </c>
      <c r="L25" s="12"/>
      <c r="M25" s="12">
        <v>0</v>
      </c>
      <c r="N25" s="96">
        <f>H25</f>
        <v>43139.34</v>
      </c>
      <c r="O25" s="12">
        <v>183750</v>
      </c>
      <c r="P25" s="12">
        <f>G25-J25-K25-M25-O25</f>
        <v>41533.22</v>
      </c>
      <c r="Q25" s="59"/>
      <c r="R25" s="12" t="s">
        <v>176</v>
      </c>
      <c r="S25" s="12">
        <v>250000</v>
      </c>
      <c r="T25" s="26">
        <f>S25-1%*S25</f>
        <v>247500</v>
      </c>
      <c r="U25" s="14" t="s">
        <v>249</v>
      </c>
      <c r="V25" s="38">
        <f>SUM(P18:P25)-SUM(T18:T25)</f>
        <v>-1470076.94</v>
      </c>
    </row>
    <row r="26" spans="1:22" ht="30" customHeight="1" x14ac:dyDescent="0.25">
      <c r="A26" s="17"/>
      <c r="B26" s="31"/>
      <c r="C26" s="22"/>
      <c r="D26" s="3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59"/>
      <c r="R26" s="12"/>
      <c r="S26" s="12"/>
      <c r="T26" s="26"/>
      <c r="U26" s="14"/>
      <c r="V26" s="38"/>
    </row>
    <row r="27" spans="1:22" ht="30" customHeight="1" x14ac:dyDescent="0.25">
      <c r="A27" s="24">
        <v>52472</v>
      </c>
      <c r="B27" s="33"/>
      <c r="C27" s="20"/>
      <c r="D27" s="34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73">
        <f>A27</f>
        <v>52472</v>
      </c>
      <c r="R27" s="16"/>
      <c r="S27" s="16"/>
      <c r="T27" s="56"/>
      <c r="U27" s="15"/>
      <c r="V27" s="14"/>
    </row>
    <row r="28" spans="1:22" ht="30" customHeight="1" x14ac:dyDescent="0.25">
      <c r="A28" s="17">
        <v>3675000</v>
      </c>
      <c r="B28" s="31" t="s">
        <v>331</v>
      </c>
      <c r="C28" s="22">
        <v>44961</v>
      </c>
      <c r="D28" s="32">
        <v>14</v>
      </c>
      <c r="E28" s="12">
        <f>2910000*40%</f>
        <v>1164000</v>
      </c>
      <c r="F28" s="12">
        <v>547489.22</v>
      </c>
      <c r="G28" s="12">
        <f>ROUND(E28-F28,)</f>
        <v>616511</v>
      </c>
      <c r="H28" s="12">
        <f>ROUND(G28*$H$5,0)</f>
        <v>110972</v>
      </c>
      <c r="I28" s="12">
        <f>G28+H28</f>
        <v>727483</v>
      </c>
      <c r="J28" s="12">
        <f>ROUND(G28*$J$5,)</f>
        <v>6165</v>
      </c>
      <c r="K28" s="12">
        <f>ROUND(G28*$K$5,)</f>
        <v>30826</v>
      </c>
      <c r="L28" s="12">
        <f>ROUND(G28*$L$5,)</f>
        <v>0</v>
      </c>
      <c r="M28" s="12">
        <f>ROUND(G28*$M$5,)</f>
        <v>61651</v>
      </c>
      <c r="N28" s="96">
        <f>H28</f>
        <v>110972</v>
      </c>
      <c r="O28" s="12"/>
      <c r="P28" s="12">
        <f>ROUND(I28-SUM(J28:N28),0)</f>
        <v>517869</v>
      </c>
      <c r="Q28" s="59"/>
      <c r="R28" s="12" t="s">
        <v>37</v>
      </c>
      <c r="S28" s="12">
        <v>300000</v>
      </c>
      <c r="T28" s="26">
        <f>S28-1%*S28</f>
        <v>297000</v>
      </c>
      <c r="U28" s="14" t="s">
        <v>38</v>
      </c>
      <c r="V28" s="14"/>
    </row>
    <row r="29" spans="1:22" ht="30" customHeight="1" x14ac:dyDescent="0.25">
      <c r="A29" s="17"/>
      <c r="B29" s="31"/>
      <c r="C29" s="22">
        <v>44998</v>
      </c>
      <c r="D29" s="32">
        <v>24</v>
      </c>
      <c r="E29" s="12">
        <f>(3381796*40%)-E28</f>
        <v>188718.40000000014</v>
      </c>
      <c r="F29" s="12">
        <v>0</v>
      </c>
      <c r="G29" s="12">
        <f>ROUND(E29-F29,)</f>
        <v>188718</v>
      </c>
      <c r="H29" s="12">
        <f>ROUND(G29*$H$5,0)</f>
        <v>33969</v>
      </c>
      <c r="I29" s="12">
        <f>G29+H29</f>
        <v>222687</v>
      </c>
      <c r="J29" s="12">
        <f>ROUND(G29*$J$5,)</f>
        <v>1887</v>
      </c>
      <c r="K29" s="12">
        <f>ROUND(G29*$K$5,)</f>
        <v>9436</v>
      </c>
      <c r="L29" s="12">
        <f>ROUND(G29*$L$5,)</f>
        <v>0</v>
      </c>
      <c r="M29" s="12">
        <f>ROUND(G29*$M$5,)</f>
        <v>18872</v>
      </c>
      <c r="N29" s="12">
        <f>H29</f>
        <v>33969</v>
      </c>
      <c r="O29" s="12"/>
      <c r="P29" s="12">
        <f>ROUND(I29-SUM(J29:N29),0)</f>
        <v>158523</v>
      </c>
      <c r="Q29" s="59" t="s">
        <v>394</v>
      </c>
      <c r="R29" s="12" t="s">
        <v>39</v>
      </c>
      <c r="S29" s="12">
        <v>500000</v>
      </c>
      <c r="T29" s="26">
        <f t="shared" ref="T29:T32" si="3">S29-1%*S29</f>
        <v>495000</v>
      </c>
      <c r="U29" s="14" t="s">
        <v>40</v>
      </c>
      <c r="V29" s="14"/>
    </row>
    <row r="30" spans="1:22" ht="30" customHeight="1" x14ac:dyDescent="0.25">
      <c r="A30" s="17"/>
      <c r="B30" s="31"/>
      <c r="C30" s="22">
        <v>45069</v>
      </c>
      <c r="D30" s="32">
        <v>14</v>
      </c>
      <c r="E30" s="12">
        <f>(3381796*55%)-E29-E28</f>
        <v>507269.39999999991</v>
      </c>
      <c r="F30" s="12">
        <v>126611</v>
      </c>
      <c r="G30" s="12">
        <f>ROUND(E30-F30,)</f>
        <v>380658</v>
      </c>
      <c r="H30" s="12">
        <f>ROUND(G30*$H$5,0)</f>
        <v>68518</v>
      </c>
      <c r="I30" s="12">
        <f>G30+H30</f>
        <v>449176</v>
      </c>
      <c r="J30" s="12">
        <f>ROUND(G30*$J$5,)</f>
        <v>3807</v>
      </c>
      <c r="K30" s="12">
        <f>ROUND(G30*$K$5,)</f>
        <v>19033</v>
      </c>
      <c r="L30" s="12">
        <f>ROUND(G30*$L$5,)</f>
        <v>0</v>
      </c>
      <c r="M30" s="12">
        <f>ROUND(G30*$M$5,)</f>
        <v>38066</v>
      </c>
      <c r="N30" s="96">
        <f>H30</f>
        <v>68518</v>
      </c>
      <c r="O30" s="12"/>
      <c r="P30" s="12">
        <f>ROUND(I30-SUM(J30:N30),0)</f>
        <v>319752</v>
      </c>
      <c r="Q30" s="59" t="s">
        <v>394</v>
      </c>
      <c r="R30" s="12" t="s">
        <v>61</v>
      </c>
      <c r="S30" s="12">
        <v>300000</v>
      </c>
      <c r="T30" s="26">
        <f t="shared" si="3"/>
        <v>297000</v>
      </c>
      <c r="U30" s="14" t="s">
        <v>62</v>
      </c>
      <c r="V30" s="14"/>
    </row>
    <row r="31" spans="1:22" ht="30" customHeight="1" x14ac:dyDescent="0.25">
      <c r="A31" s="17"/>
      <c r="B31" s="31"/>
      <c r="C31" s="22">
        <v>45060</v>
      </c>
      <c r="D31" s="32">
        <v>13</v>
      </c>
      <c r="E31" s="12">
        <v>507269.4</v>
      </c>
      <c r="F31" s="12">
        <v>358681</v>
      </c>
      <c r="G31" s="12">
        <f>ROUND(E31-F31,)</f>
        <v>148588</v>
      </c>
      <c r="H31" s="12">
        <f>ROUND(G31*$H$5,0)</f>
        <v>26746</v>
      </c>
      <c r="I31" s="12">
        <f>G31+H31</f>
        <v>175334</v>
      </c>
      <c r="J31" s="12">
        <f>ROUND(G31*$J$5,)</f>
        <v>1486</v>
      </c>
      <c r="K31" s="12">
        <f>ROUND(G31*$K$5,)</f>
        <v>7429</v>
      </c>
      <c r="L31" s="12">
        <f>ROUND(G31*$L$5,)</f>
        <v>0</v>
      </c>
      <c r="M31" s="12">
        <f>ROUND(G31*$M$5,)</f>
        <v>14859</v>
      </c>
      <c r="N31" s="96">
        <f>H31</f>
        <v>26746</v>
      </c>
      <c r="O31" s="12"/>
      <c r="P31" s="12">
        <f>ROUND(I31-SUM(J31:N31),0)</f>
        <v>124814</v>
      </c>
      <c r="Q31" s="59" t="s">
        <v>394</v>
      </c>
      <c r="R31" s="12" t="s">
        <v>63</v>
      </c>
      <c r="S31" s="12">
        <v>150000</v>
      </c>
      <c r="T31" s="26">
        <f t="shared" si="3"/>
        <v>148500</v>
      </c>
      <c r="U31" s="14" t="s">
        <v>64</v>
      </c>
      <c r="V31" s="14"/>
    </row>
    <row r="32" spans="1:22" ht="30" customHeight="1" x14ac:dyDescent="0.25">
      <c r="A32" s="17"/>
      <c r="B32" s="31"/>
      <c r="C32" s="22">
        <v>45100</v>
      </c>
      <c r="D32" s="31">
        <v>19</v>
      </c>
      <c r="E32" s="31">
        <v>338179.6</v>
      </c>
      <c r="F32" s="12">
        <v>128139</v>
      </c>
      <c r="G32" s="12">
        <f>ROUND(E32-F32,)</f>
        <v>210041</v>
      </c>
      <c r="H32" s="12">
        <f>ROUND(G32*$H$5,0)</f>
        <v>37807</v>
      </c>
      <c r="I32" s="12">
        <f>G32+H32</f>
        <v>247848</v>
      </c>
      <c r="J32" s="12">
        <f>ROUND(G32*$J$5,)</f>
        <v>2100</v>
      </c>
      <c r="K32" s="12">
        <f>ROUND(G32*$K$5,)</f>
        <v>10502</v>
      </c>
      <c r="L32" s="12"/>
      <c r="M32" s="12">
        <f>ROUND(G32*$M$5,)</f>
        <v>21004</v>
      </c>
      <c r="N32" s="12">
        <f>H32</f>
        <v>37807</v>
      </c>
      <c r="O32" s="31"/>
      <c r="P32" s="12">
        <f>ROUND(I32-SUM(J32:N32),0)</f>
        <v>176435</v>
      </c>
      <c r="Q32" s="59" t="s">
        <v>394</v>
      </c>
      <c r="R32" s="12" t="s">
        <v>72</v>
      </c>
      <c r="S32" s="12">
        <v>300000</v>
      </c>
      <c r="T32" s="26">
        <f t="shared" si="3"/>
        <v>297000</v>
      </c>
      <c r="U32" s="14" t="s">
        <v>73</v>
      </c>
      <c r="V32" s="14"/>
    </row>
    <row r="33" spans="1:22" ht="30" customHeight="1" x14ac:dyDescent="0.25">
      <c r="A33" s="17" t="s">
        <v>112</v>
      </c>
      <c r="B33" s="31"/>
      <c r="C33" s="22">
        <v>45139</v>
      </c>
      <c r="D33" s="31" t="s">
        <v>450</v>
      </c>
      <c r="E33" s="31">
        <v>234563.19999999995</v>
      </c>
      <c r="F33" s="12">
        <v>0</v>
      </c>
      <c r="G33" s="12">
        <v>234563</v>
      </c>
      <c r="H33" s="12">
        <v>42221</v>
      </c>
      <c r="I33" s="12">
        <v>276784</v>
      </c>
      <c r="J33" s="12">
        <v>2346</v>
      </c>
      <c r="K33" s="12">
        <v>11728</v>
      </c>
      <c r="L33" s="12">
        <v>0</v>
      </c>
      <c r="M33" s="12">
        <v>23456</v>
      </c>
      <c r="N33" s="12">
        <v>42221</v>
      </c>
      <c r="O33" s="31"/>
      <c r="P33" s="12">
        <v>197033</v>
      </c>
      <c r="Q33" s="59"/>
      <c r="R33" s="12" t="s">
        <v>257</v>
      </c>
      <c r="S33" s="12">
        <v>100000</v>
      </c>
      <c r="T33" s="26">
        <f t="shared" ref="T33:T34" si="4">S33-1%*S33</f>
        <v>99000</v>
      </c>
      <c r="U33" s="14" t="s">
        <v>256</v>
      </c>
      <c r="V33" s="14"/>
    </row>
    <row r="34" spans="1:22" ht="30" customHeight="1" x14ac:dyDescent="0.25">
      <c r="A34" s="17"/>
      <c r="B34" s="31" t="s">
        <v>114</v>
      </c>
      <c r="C34" s="22"/>
      <c r="D34" s="31">
        <v>24</v>
      </c>
      <c r="E34" s="54">
        <v>33969</v>
      </c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54">
        <v>33969</v>
      </c>
      <c r="Q34" s="59"/>
      <c r="R34" s="12"/>
      <c r="S34" s="12">
        <v>1000000</v>
      </c>
      <c r="T34" s="26">
        <f t="shared" si="4"/>
        <v>990000</v>
      </c>
      <c r="U34" s="14" t="s">
        <v>449</v>
      </c>
      <c r="V34" s="14"/>
    </row>
    <row r="35" spans="1:22" ht="30" customHeight="1" x14ac:dyDescent="0.25">
      <c r="A35" s="17"/>
      <c r="B35" s="31" t="s">
        <v>114</v>
      </c>
      <c r="C35" s="22"/>
      <c r="D35" s="31">
        <v>19</v>
      </c>
      <c r="E35" s="54">
        <v>37807</v>
      </c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54">
        <v>37807</v>
      </c>
      <c r="Q35" s="59"/>
      <c r="R35" s="12"/>
      <c r="S35" s="12"/>
      <c r="T35" s="26"/>
      <c r="U35" s="14"/>
      <c r="V35" s="14"/>
    </row>
    <row r="36" spans="1:22" ht="30" customHeight="1" x14ac:dyDescent="0.25">
      <c r="A36" s="17"/>
      <c r="B36" s="31" t="s">
        <v>114</v>
      </c>
      <c r="C36" s="22"/>
      <c r="D36" s="31" t="s">
        <v>450</v>
      </c>
      <c r="E36" s="54">
        <v>42221</v>
      </c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54">
        <v>42221</v>
      </c>
      <c r="Q36" s="59"/>
      <c r="R36" s="12"/>
      <c r="S36" s="12"/>
      <c r="T36" s="26"/>
      <c r="U36" s="14"/>
      <c r="V36" s="14"/>
    </row>
    <row r="37" spans="1:22" ht="30" customHeight="1" x14ac:dyDescent="0.25">
      <c r="A37" s="17"/>
      <c r="B37" s="31"/>
      <c r="C37" s="22"/>
      <c r="D37" s="31"/>
      <c r="E37" s="54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54"/>
      <c r="Q37" s="59"/>
      <c r="R37" s="12"/>
      <c r="S37" s="12"/>
      <c r="T37" s="26"/>
      <c r="U37" s="14"/>
      <c r="V37" s="14"/>
    </row>
    <row r="38" spans="1:22" ht="30" customHeight="1" x14ac:dyDescent="0.25">
      <c r="A38" s="17"/>
      <c r="B38" s="31"/>
      <c r="C38" s="22"/>
      <c r="D38" s="31"/>
      <c r="E38" s="54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54"/>
      <c r="Q38" s="59"/>
      <c r="R38" s="12"/>
      <c r="S38" s="12"/>
      <c r="T38" s="26"/>
      <c r="U38" s="14"/>
      <c r="V38" s="14"/>
    </row>
    <row r="39" spans="1:22" ht="30" customHeight="1" x14ac:dyDescent="0.25">
      <c r="A39" s="17"/>
      <c r="B39" s="31"/>
      <c r="C39" s="22"/>
      <c r="D39" s="31"/>
      <c r="E39" s="54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54"/>
      <c r="Q39" s="59"/>
      <c r="R39" s="12"/>
      <c r="S39" s="12"/>
      <c r="T39" s="26"/>
      <c r="U39" s="14"/>
      <c r="V39" s="38">
        <f>SUM(P28:P39)-SUM(T28:T39)</f>
        <v>-1015077</v>
      </c>
    </row>
    <row r="40" spans="1:22" ht="30" customHeight="1" x14ac:dyDescent="0.25">
      <c r="A40" s="24">
        <v>52499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73">
        <f>A40</f>
        <v>52499</v>
      </c>
      <c r="R40" s="16"/>
      <c r="S40" s="16"/>
      <c r="T40" s="56"/>
      <c r="U40" s="15"/>
      <c r="V40" s="14"/>
    </row>
    <row r="41" spans="1:22" ht="30" customHeight="1" x14ac:dyDescent="0.25">
      <c r="A41" s="17">
        <v>3412500</v>
      </c>
      <c r="B41" s="31" t="s">
        <v>332</v>
      </c>
      <c r="C41" s="22">
        <v>44961</v>
      </c>
      <c r="D41" s="32">
        <v>12</v>
      </c>
      <c r="E41" s="12">
        <f>2722500*40%</f>
        <v>1089000</v>
      </c>
      <c r="F41" s="12">
        <v>487964.58</v>
      </c>
      <c r="G41" s="12">
        <f>ROUND(E41-F41,)</f>
        <v>601035</v>
      </c>
      <c r="H41" s="12">
        <f>ROUND(G41*$H$5,0)</f>
        <v>108186</v>
      </c>
      <c r="I41" s="12">
        <f>G41+H41</f>
        <v>709221</v>
      </c>
      <c r="J41" s="12">
        <f>ROUND(G41*$J$5,)</f>
        <v>6010</v>
      </c>
      <c r="K41" s="12">
        <f>ROUND(G41*$K$5,)</f>
        <v>30052</v>
      </c>
      <c r="L41" s="12">
        <f>ROUND(G41*$L$5,)</f>
        <v>0</v>
      </c>
      <c r="M41" s="12">
        <f>ROUND(G41*$M$5,)</f>
        <v>60104</v>
      </c>
      <c r="N41" s="96">
        <f>H41</f>
        <v>108186</v>
      </c>
      <c r="O41" s="12"/>
      <c r="P41" s="12">
        <f>ROUND(I41-SUM(J41:N41),0)</f>
        <v>504869</v>
      </c>
      <c r="Q41" s="59"/>
      <c r="R41" s="12" t="s">
        <v>41</v>
      </c>
      <c r="S41" s="12">
        <v>300000</v>
      </c>
      <c r="T41" s="26">
        <f>S41-1%*S41</f>
        <v>297000</v>
      </c>
      <c r="U41" s="14" t="s">
        <v>42</v>
      </c>
      <c r="V41" s="14"/>
    </row>
    <row r="42" spans="1:22" ht="30" customHeight="1" x14ac:dyDescent="0.25">
      <c r="A42" s="17"/>
      <c r="B42" s="31"/>
      <c r="C42" s="22">
        <v>44998</v>
      </c>
      <c r="D42" s="32">
        <v>22</v>
      </c>
      <c r="E42" s="12">
        <f>(3097314*40%)-E41+(3097314*15%)</f>
        <v>614522.70000000007</v>
      </c>
      <c r="F42" s="12">
        <v>294420.01</v>
      </c>
      <c r="G42" s="12">
        <f>ROUND(E42-F42,)</f>
        <v>320103</v>
      </c>
      <c r="H42" s="12">
        <f>ROUND(G42*$H$5,0)</f>
        <v>57619</v>
      </c>
      <c r="I42" s="12">
        <f>G42+H42</f>
        <v>377722</v>
      </c>
      <c r="J42" s="12">
        <f>ROUND(G42*$J$5,)</f>
        <v>3201</v>
      </c>
      <c r="K42" s="12">
        <f>ROUND(G42*$K$5,)</f>
        <v>16005</v>
      </c>
      <c r="L42" s="12">
        <f>ROUND(G42*$L$5,)</f>
        <v>0</v>
      </c>
      <c r="M42" s="12">
        <f>ROUND(G42*$M$5,)</f>
        <v>32010</v>
      </c>
      <c r="N42" s="18">
        <f>H42</f>
        <v>57619</v>
      </c>
      <c r="O42" s="12"/>
      <c r="P42" s="12">
        <f>ROUND(I42-SUM(J42:N42),0)</f>
        <v>268887</v>
      </c>
      <c r="Q42" s="59"/>
      <c r="R42" s="12" t="s">
        <v>43</v>
      </c>
      <c r="S42" s="12">
        <v>300000</v>
      </c>
      <c r="T42" s="26">
        <f t="shared" ref="T42:T45" si="5">S42-1%*S42</f>
        <v>297000</v>
      </c>
      <c r="U42" s="14" t="s">
        <v>44</v>
      </c>
      <c r="V42" s="14"/>
    </row>
    <row r="43" spans="1:22" ht="30" customHeight="1" x14ac:dyDescent="0.25">
      <c r="A43" s="17"/>
      <c r="B43" s="31"/>
      <c r="C43" s="22">
        <v>45013</v>
      </c>
      <c r="D43" s="32">
        <v>30</v>
      </c>
      <c r="E43" s="12">
        <f>(3097314*15%)</f>
        <v>464597.1</v>
      </c>
      <c r="F43" s="12">
        <v>142395</v>
      </c>
      <c r="G43" s="12">
        <f>ROUND(E43-F43,)</f>
        <v>322202</v>
      </c>
      <c r="H43" s="12">
        <f>ROUND(G43*$H$5,0)</f>
        <v>57996</v>
      </c>
      <c r="I43" s="12">
        <f>G43+H43</f>
        <v>380198</v>
      </c>
      <c r="J43" s="12">
        <f>ROUND(G43*$J$5,)</f>
        <v>3222</v>
      </c>
      <c r="K43" s="12">
        <f>ROUND(G43*$K$5,)</f>
        <v>16110</v>
      </c>
      <c r="L43" s="12">
        <f>ROUND(G43*$L$5,)</f>
        <v>0</v>
      </c>
      <c r="M43" s="12">
        <f>ROUND(G43*$M$5,)</f>
        <v>32220</v>
      </c>
      <c r="N43" s="18">
        <f>H43</f>
        <v>57996</v>
      </c>
      <c r="O43" s="12"/>
      <c r="P43" s="12">
        <f>ROUND(I43-SUM(J43:N43),0)</f>
        <v>270650</v>
      </c>
      <c r="Q43" s="59"/>
      <c r="R43" s="12" t="s">
        <v>45</v>
      </c>
      <c r="S43" s="12">
        <v>200000</v>
      </c>
      <c r="T43" s="26">
        <f t="shared" si="5"/>
        <v>198000</v>
      </c>
      <c r="U43" s="14" t="s">
        <v>46</v>
      </c>
      <c r="V43" s="14"/>
    </row>
    <row r="44" spans="1:22" ht="30" customHeight="1" x14ac:dyDescent="0.25">
      <c r="A44" s="17" t="s">
        <v>112</v>
      </c>
      <c r="B44" s="31"/>
      <c r="C44" s="22">
        <v>45139</v>
      </c>
      <c r="D44" s="32">
        <v>42</v>
      </c>
      <c r="E44" s="12">
        <v>220630.19999999972</v>
      </c>
      <c r="F44" s="12"/>
      <c r="G44" s="12">
        <v>220630</v>
      </c>
      <c r="H44" s="12">
        <v>39713</v>
      </c>
      <c r="I44" s="12">
        <v>260343</v>
      </c>
      <c r="J44" s="12">
        <v>2206</v>
      </c>
      <c r="K44" s="12">
        <v>11032</v>
      </c>
      <c r="L44" s="12">
        <v>0</v>
      </c>
      <c r="M44" s="12">
        <v>22063</v>
      </c>
      <c r="N44" s="18">
        <v>39713</v>
      </c>
      <c r="O44" s="12"/>
      <c r="P44" s="12">
        <v>185329</v>
      </c>
      <c r="Q44" s="59"/>
      <c r="R44" s="12" t="s">
        <v>74</v>
      </c>
      <c r="S44" s="12">
        <v>150000</v>
      </c>
      <c r="T44" s="26">
        <f t="shared" si="5"/>
        <v>148500</v>
      </c>
      <c r="U44" s="14" t="s">
        <v>65</v>
      </c>
      <c r="V44" s="14"/>
    </row>
    <row r="45" spans="1:22" ht="30" customHeight="1" x14ac:dyDescent="0.25">
      <c r="A45" s="17"/>
      <c r="B45" s="12" t="s">
        <v>114</v>
      </c>
      <c r="C45" s="12"/>
      <c r="D45" s="32">
        <v>22</v>
      </c>
      <c r="E45" s="12">
        <v>57619</v>
      </c>
      <c r="F45" s="12"/>
      <c r="G45" s="12">
        <v>0</v>
      </c>
      <c r="H45" s="12">
        <f>ROUND(G45*$H$5,0)</f>
        <v>0</v>
      </c>
      <c r="I45" s="12">
        <f>G45+H45</f>
        <v>0</v>
      </c>
      <c r="J45" s="12">
        <f>ROUND(G45*$J$5,)</f>
        <v>0</v>
      </c>
      <c r="K45" s="12">
        <f>ROUND(G45*$K$5,)</f>
        <v>0</v>
      </c>
      <c r="L45" s="12">
        <f>ROUND(G45*$L$5,)</f>
        <v>0</v>
      </c>
      <c r="M45" s="12">
        <f>ROUND(G45*$M$5,)</f>
        <v>0</v>
      </c>
      <c r="N45" s="12">
        <f>H45</f>
        <v>0</v>
      </c>
      <c r="O45" s="12"/>
      <c r="P45" s="12">
        <f>E45</f>
        <v>57619</v>
      </c>
      <c r="Q45" s="59"/>
      <c r="R45" s="12" t="s">
        <v>139</v>
      </c>
      <c r="S45" s="12">
        <v>500000</v>
      </c>
      <c r="T45" s="26">
        <f t="shared" si="5"/>
        <v>495000</v>
      </c>
      <c r="U45" s="14" t="s">
        <v>138</v>
      </c>
      <c r="V45" s="14"/>
    </row>
    <row r="46" spans="1:22" ht="30" customHeight="1" x14ac:dyDescent="0.25">
      <c r="A46" s="17"/>
      <c r="B46" s="12" t="s">
        <v>114</v>
      </c>
      <c r="C46" s="12"/>
      <c r="D46" s="32">
        <v>30</v>
      </c>
      <c r="E46" s="12">
        <v>57996</v>
      </c>
      <c r="F46" s="12"/>
      <c r="G46" s="12">
        <v>0</v>
      </c>
      <c r="H46" s="12">
        <f>ROUND(G46*$H$5,0)</f>
        <v>0</v>
      </c>
      <c r="I46" s="12">
        <f>G46+H46</f>
        <v>0</v>
      </c>
      <c r="J46" s="12">
        <f>ROUND(G46*$J$5,)</f>
        <v>0</v>
      </c>
      <c r="K46" s="12">
        <f>ROUND(G46*$K$5,)</f>
        <v>0</v>
      </c>
      <c r="L46" s="12">
        <f>ROUND(G46*$L$5,)</f>
        <v>0</v>
      </c>
      <c r="M46" s="12">
        <f>ROUND(G46*$M$5,)</f>
        <v>0</v>
      </c>
      <c r="N46" s="12">
        <f>H46</f>
        <v>0</v>
      </c>
      <c r="O46" s="12"/>
      <c r="P46" s="12">
        <f>E46</f>
        <v>57996</v>
      </c>
      <c r="Q46" s="59"/>
      <c r="R46" s="12" t="s">
        <v>255</v>
      </c>
      <c r="S46" s="12">
        <v>100000</v>
      </c>
      <c r="T46" s="26">
        <f t="shared" ref="T46:T47" si="6">S46-1%*S46</f>
        <v>99000</v>
      </c>
      <c r="U46" s="14" t="s">
        <v>254</v>
      </c>
      <c r="V46" s="14"/>
    </row>
    <row r="47" spans="1:22" ht="30" customHeight="1" x14ac:dyDescent="0.25">
      <c r="A47" s="17"/>
      <c r="B47" s="31"/>
      <c r="C47" s="22">
        <v>45146</v>
      </c>
      <c r="D47" s="95">
        <v>63211</v>
      </c>
      <c r="E47" s="12">
        <v>341250</v>
      </c>
      <c r="F47" s="12">
        <v>113859</v>
      </c>
      <c r="G47" s="12">
        <f>ROUND(E47-F47,)</f>
        <v>227391</v>
      </c>
      <c r="H47" s="12">
        <f>ROUND(G47*$H$5,0)</f>
        <v>40930</v>
      </c>
      <c r="I47" s="12">
        <f>G47+H47</f>
        <v>268321</v>
      </c>
      <c r="J47" s="12">
        <f>ROUND(G47*$J$5,)</f>
        <v>2274</v>
      </c>
      <c r="K47" s="12">
        <f>ROUND(G47*$K$5,)</f>
        <v>11370</v>
      </c>
      <c r="L47" s="12">
        <f>ROUND(G47*$L$5,)</f>
        <v>0</v>
      </c>
      <c r="M47" s="12">
        <f>ROUND(G47*$M$5,)</f>
        <v>22739</v>
      </c>
      <c r="N47" s="18">
        <f>H47</f>
        <v>40930</v>
      </c>
      <c r="O47" s="12"/>
      <c r="P47" s="12">
        <f>ROUND(I47-SUM(J47:N47),0)</f>
        <v>191008</v>
      </c>
      <c r="Q47" s="104" t="s">
        <v>432</v>
      </c>
      <c r="R47" s="12" t="s">
        <v>452</v>
      </c>
      <c r="S47" s="12">
        <v>500000</v>
      </c>
      <c r="T47" s="26">
        <f t="shared" si="6"/>
        <v>495000</v>
      </c>
      <c r="U47" s="14" t="s">
        <v>451</v>
      </c>
      <c r="V47" s="14"/>
    </row>
    <row r="48" spans="1:22" ht="30" customHeight="1" x14ac:dyDescent="0.25">
      <c r="A48" s="17"/>
      <c r="B48" s="12" t="s">
        <v>114</v>
      </c>
      <c r="C48" s="12"/>
      <c r="D48" s="32">
        <v>42</v>
      </c>
      <c r="E48" s="12">
        <f>N44</f>
        <v>39713</v>
      </c>
      <c r="F48" s="12"/>
      <c r="G48" s="12">
        <v>0</v>
      </c>
      <c r="H48" s="12">
        <f>ROUND(G48*$H$5,0)</f>
        <v>0</v>
      </c>
      <c r="I48" s="12">
        <f>G48+H48</f>
        <v>0</v>
      </c>
      <c r="J48" s="12">
        <f>ROUND(G48*$J$5,)</f>
        <v>0</v>
      </c>
      <c r="K48" s="12">
        <f>ROUND(G48*$K$5,)</f>
        <v>0</v>
      </c>
      <c r="L48" s="12">
        <f>ROUND(G48*$L$5,)</f>
        <v>0</v>
      </c>
      <c r="M48" s="12">
        <f>ROUND(G48*$M$5,)</f>
        <v>0</v>
      </c>
      <c r="N48" s="12">
        <f>H48</f>
        <v>0</v>
      </c>
      <c r="O48" s="12"/>
      <c r="P48" s="12">
        <f>E48</f>
        <v>39713</v>
      </c>
      <c r="Q48" s="59"/>
      <c r="R48" s="12"/>
      <c r="S48" s="12"/>
      <c r="T48" s="26"/>
      <c r="U48" s="14"/>
      <c r="V48" s="14"/>
    </row>
    <row r="49" spans="1:22" ht="30" customHeight="1" x14ac:dyDescent="0.25">
      <c r="A49" s="17"/>
      <c r="B49" s="12" t="s">
        <v>114</v>
      </c>
      <c r="C49" s="12"/>
      <c r="D49" s="95">
        <f>D47</f>
        <v>63211</v>
      </c>
      <c r="E49" s="12">
        <f>N47</f>
        <v>40930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>
        <f>E49</f>
        <v>40930</v>
      </c>
      <c r="Q49" s="59"/>
      <c r="R49" s="12"/>
      <c r="S49" s="12"/>
      <c r="T49" s="58"/>
      <c r="U49" s="38"/>
      <c r="V49" s="38">
        <f>SUM(P41:P49)-SUM(T41:T49)</f>
        <v>-412499</v>
      </c>
    </row>
    <row r="50" spans="1:22" ht="30" customHeight="1" x14ac:dyDescent="0.25">
      <c r="A50" s="24">
        <v>52749</v>
      </c>
      <c r="B50" s="19"/>
      <c r="C50" s="20"/>
      <c r="D50" s="34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73">
        <f>A50</f>
        <v>52749</v>
      </c>
      <c r="R50" s="16"/>
      <c r="S50" s="16"/>
      <c r="T50" s="56"/>
      <c r="U50" s="15"/>
      <c r="V50" s="14"/>
    </row>
    <row r="51" spans="1:22" ht="30" customHeight="1" x14ac:dyDescent="0.25">
      <c r="A51" s="17">
        <v>3412500</v>
      </c>
      <c r="B51" s="31" t="s">
        <v>341</v>
      </c>
      <c r="C51" s="22">
        <v>44961</v>
      </c>
      <c r="D51" s="32">
        <v>11</v>
      </c>
      <c r="E51" s="12">
        <f>2722500*40%</f>
        <v>1089000</v>
      </c>
      <c r="F51" s="12">
        <v>479944.28</v>
      </c>
      <c r="G51" s="12">
        <f>ROUND(E51-F51,)</f>
        <v>609056</v>
      </c>
      <c r="H51" s="12">
        <f>ROUND(G51*$H$5,0)</f>
        <v>109630</v>
      </c>
      <c r="I51" s="12">
        <f>G51+H51</f>
        <v>718686</v>
      </c>
      <c r="J51" s="12">
        <f>ROUND(G51*$J$5,)</f>
        <v>6091</v>
      </c>
      <c r="K51" s="12">
        <f>ROUND(G51*$K$5,)</f>
        <v>30453</v>
      </c>
      <c r="L51" s="12">
        <f>ROUND(G51*$L$5,)</f>
        <v>0</v>
      </c>
      <c r="M51" s="12">
        <f>ROUND(G51*$M$5,)</f>
        <v>60906</v>
      </c>
      <c r="N51" s="96">
        <f>H51</f>
        <v>109630</v>
      </c>
      <c r="O51" s="12"/>
      <c r="P51" s="12">
        <f>ROUND(I51-SUM(J51:N51),0)</f>
        <v>511606</v>
      </c>
      <c r="Q51" s="74"/>
      <c r="R51" s="12" t="s">
        <v>75</v>
      </c>
      <c r="S51" s="12">
        <v>600000</v>
      </c>
      <c r="T51" s="26">
        <f>S51-1%*S51</f>
        <v>594000</v>
      </c>
      <c r="U51" s="14" t="s">
        <v>76</v>
      </c>
      <c r="V51" s="14"/>
    </row>
    <row r="52" spans="1:22" ht="30" customHeight="1" x14ac:dyDescent="0.25">
      <c r="A52" s="17"/>
      <c r="B52" s="31"/>
      <c r="C52" s="22">
        <v>44998</v>
      </c>
      <c r="D52" s="32">
        <v>21</v>
      </c>
      <c r="E52" s="12">
        <v>149925</v>
      </c>
      <c r="F52" s="12"/>
      <c r="G52" s="12">
        <f>ROUND(E52-F52,)</f>
        <v>149925</v>
      </c>
      <c r="H52" s="12">
        <f>ROUND(G52*$H$5,0)</f>
        <v>26987</v>
      </c>
      <c r="I52" s="12">
        <f>G52+H52</f>
        <v>176912</v>
      </c>
      <c r="J52" s="12">
        <f>ROUND(G52*$J$5,)</f>
        <v>1499</v>
      </c>
      <c r="K52" s="12">
        <f>ROUND(G52*$K$5,)</f>
        <v>7496</v>
      </c>
      <c r="L52" s="12">
        <f>ROUND(G52*$L$5,)</f>
        <v>0</v>
      </c>
      <c r="M52" s="12">
        <f>ROUND(G52*$M$5,)</f>
        <v>14993</v>
      </c>
      <c r="N52" s="18">
        <f>H52</f>
        <v>26987</v>
      </c>
      <c r="O52" s="12"/>
      <c r="P52" s="12">
        <f>ROUND(I52-SUM(J52:N52),0)</f>
        <v>125937</v>
      </c>
      <c r="Q52" s="59"/>
      <c r="R52" s="12" t="s">
        <v>77</v>
      </c>
      <c r="S52" s="12">
        <v>300000</v>
      </c>
      <c r="T52" s="26">
        <f t="shared" ref="T52:T53" si="7">S52-1%*S52</f>
        <v>297000</v>
      </c>
      <c r="U52" s="14" t="s">
        <v>78</v>
      </c>
      <c r="V52" s="14"/>
    </row>
    <row r="53" spans="1:22" ht="30" customHeight="1" x14ac:dyDescent="0.25">
      <c r="A53" s="17" t="s">
        <v>112</v>
      </c>
      <c r="B53" s="31"/>
      <c r="C53" s="22">
        <v>45139</v>
      </c>
      <c r="D53" s="32" t="s">
        <v>435</v>
      </c>
      <c r="E53" s="12">
        <v>126075</v>
      </c>
      <c r="F53" s="12">
        <v>0</v>
      </c>
      <c r="G53" s="12">
        <v>126075</v>
      </c>
      <c r="H53" s="12">
        <v>22694</v>
      </c>
      <c r="I53" s="12">
        <v>148769</v>
      </c>
      <c r="J53" s="12">
        <v>1261</v>
      </c>
      <c r="K53" s="12">
        <v>6304</v>
      </c>
      <c r="L53" s="12">
        <v>0</v>
      </c>
      <c r="M53" s="12">
        <v>12608</v>
      </c>
      <c r="N53" s="18">
        <v>22694</v>
      </c>
      <c r="O53" s="12"/>
      <c r="P53" s="12">
        <v>105902</v>
      </c>
      <c r="Q53" s="59"/>
      <c r="R53" s="12" t="s">
        <v>140</v>
      </c>
      <c r="S53" s="12">
        <v>100000</v>
      </c>
      <c r="T53" s="26">
        <f t="shared" si="7"/>
        <v>99000</v>
      </c>
      <c r="U53" s="35" t="s">
        <v>110</v>
      </c>
      <c r="V53" s="14"/>
    </row>
    <row r="54" spans="1:22" ht="30" customHeight="1" x14ac:dyDescent="0.25">
      <c r="A54" s="17"/>
      <c r="B54" s="31" t="s">
        <v>114</v>
      </c>
      <c r="C54" s="22"/>
      <c r="D54" s="32">
        <v>21</v>
      </c>
      <c r="E54" s="12">
        <v>26987</v>
      </c>
      <c r="F54" s="12"/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/>
      <c r="P54" s="12">
        <f>E54</f>
        <v>26987</v>
      </c>
      <c r="Q54" s="59"/>
      <c r="R54" s="12" t="s">
        <v>201</v>
      </c>
      <c r="S54" s="12">
        <v>100000</v>
      </c>
      <c r="T54" s="26">
        <v>99000</v>
      </c>
      <c r="U54" s="35" t="s">
        <v>200</v>
      </c>
      <c r="V54" s="14"/>
    </row>
    <row r="55" spans="1:22" ht="30" customHeight="1" x14ac:dyDescent="0.25">
      <c r="A55" s="17"/>
      <c r="B55" s="31"/>
      <c r="C55" s="22">
        <v>45146</v>
      </c>
      <c r="D55" s="32" t="s">
        <v>399</v>
      </c>
      <c r="E55" s="12">
        <v>511875</v>
      </c>
      <c r="F55" s="12">
        <v>276887</v>
      </c>
      <c r="G55" s="12">
        <f>ROUND(E55-F55,)</f>
        <v>234988</v>
      </c>
      <c r="H55" s="12">
        <f>ROUND(G55*$H$5,0)</f>
        <v>42298</v>
      </c>
      <c r="I55" s="12">
        <f>G55+H55</f>
        <v>277286</v>
      </c>
      <c r="J55" s="12">
        <f>ROUND(G55*$J$5,)</f>
        <v>2350</v>
      </c>
      <c r="K55" s="12">
        <f>ROUND(G55*$K$5,)</f>
        <v>11749</v>
      </c>
      <c r="L55" s="12">
        <f>ROUND(G55*$L$5,)</f>
        <v>0</v>
      </c>
      <c r="M55" s="12">
        <f>ROUND(G55*$M$5,)</f>
        <v>23499</v>
      </c>
      <c r="N55" s="18">
        <f>H55</f>
        <v>42298</v>
      </c>
      <c r="O55" s="12"/>
      <c r="P55" s="12">
        <f>ROUND(I55-SUM(J55:N55),0)</f>
        <v>197390</v>
      </c>
      <c r="Q55" s="104" t="s">
        <v>432</v>
      </c>
      <c r="R55" s="12" t="s">
        <v>414</v>
      </c>
      <c r="S55" s="12">
        <v>750000</v>
      </c>
      <c r="T55" s="26">
        <v>712500</v>
      </c>
      <c r="U55" s="35" t="s">
        <v>413</v>
      </c>
      <c r="V55" s="14"/>
    </row>
    <row r="56" spans="1:22" ht="30" customHeight="1" x14ac:dyDescent="0.25">
      <c r="A56" s="17"/>
      <c r="B56" s="31"/>
      <c r="C56" s="22">
        <v>45206</v>
      </c>
      <c r="D56" s="32" t="s">
        <v>434</v>
      </c>
      <c r="E56" s="12">
        <f>3412500*15%</f>
        <v>511875</v>
      </c>
      <c r="F56" s="12">
        <v>304812</v>
      </c>
      <c r="G56" s="12">
        <f>ROUND(E56-F56,)</f>
        <v>207063</v>
      </c>
      <c r="H56" s="12">
        <f>ROUND(G56*$H$5,0)</f>
        <v>37271</v>
      </c>
      <c r="I56" s="12">
        <f>G56+H56</f>
        <v>244334</v>
      </c>
      <c r="J56" s="12">
        <f>ROUND(G56*$J$5,)</f>
        <v>2071</v>
      </c>
      <c r="K56" s="12">
        <f>ROUND(G56*$K$5,)</f>
        <v>10353</v>
      </c>
      <c r="L56" s="12">
        <f>ROUND(G56*$L$5,)</f>
        <v>0</v>
      </c>
      <c r="M56" s="12">
        <f>ROUND(G56*$M$5,)</f>
        <v>20706</v>
      </c>
      <c r="N56" s="96">
        <f>H56</f>
        <v>37271</v>
      </c>
      <c r="O56" s="14"/>
      <c r="P56" s="12">
        <f>ROUND(I56-SUM(J56:N56),0)</f>
        <v>173933</v>
      </c>
      <c r="Q56" s="105" t="s">
        <v>431</v>
      </c>
      <c r="R56" s="12"/>
      <c r="S56" s="12"/>
      <c r="T56" s="26">
        <v>990000</v>
      </c>
      <c r="U56" s="35" t="s">
        <v>453</v>
      </c>
      <c r="V56" s="14"/>
    </row>
    <row r="57" spans="1:22" ht="30" customHeight="1" x14ac:dyDescent="0.25">
      <c r="A57" s="17"/>
      <c r="B57" s="31" t="s">
        <v>114</v>
      </c>
      <c r="C57" s="22"/>
      <c r="D57" s="32" t="s">
        <v>340</v>
      </c>
      <c r="E57" s="12">
        <f>N53</f>
        <v>22694</v>
      </c>
      <c r="F57" s="12"/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/>
      <c r="P57" s="12">
        <f t="shared" ref="P57" si="8">E57</f>
        <v>22694</v>
      </c>
      <c r="Q57" s="59"/>
      <c r="R57" s="12"/>
      <c r="S57" s="12"/>
      <c r="T57" s="26"/>
      <c r="U57" s="35"/>
      <c r="V57" s="14"/>
    </row>
    <row r="58" spans="1:22" ht="30" customHeight="1" x14ac:dyDescent="0.25">
      <c r="A58" s="17"/>
      <c r="B58" s="31" t="s">
        <v>114</v>
      </c>
      <c r="C58" s="22"/>
      <c r="D58" s="97" t="str">
        <f>D55</f>
        <v>61, 209</v>
      </c>
      <c r="E58" s="12">
        <f>N55</f>
        <v>42298</v>
      </c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>
        <f>E58</f>
        <v>42298</v>
      </c>
      <c r="Q58" s="59"/>
      <c r="R58" s="12"/>
      <c r="S58" s="12"/>
      <c r="T58" s="26"/>
      <c r="U58" s="35"/>
      <c r="V58" s="14"/>
    </row>
    <row r="59" spans="1:22" ht="30" customHeight="1" x14ac:dyDescent="0.25">
      <c r="A59" s="17"/>
      <c r="B59" s="31"/>
      <c r="C59" s="22"/>
      <c r="D59" s="3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59"/>
      <c r="R59" s="12"/>
      <c r="S59" s="12"/>
      <c r="T59" s="58"/>
      <c r="U59" s="35"/>
      <c r="V59" s="14"/>
    </row>
    <row r="60" spans="1:22" ht="30" customHeight="1" x14ac:dyDescent="0.25">
      <c r="A60" s="17"/>
      <c r="B60" s="31"/>
      <c r="C60" s="22"/>
      <c r="D60" s="3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59"/>
      <c r="R60" s="12"/>
      <c r="S60" s="12"/>
      <c r="T60" s="26"/>
      <c r="U60" s="35"/>
      <c r="V60" s="38">
        <f>SUM(P51:P60)-SUM(T51:T60)</f>
        <v>-1584753</v>
      </c>
    </row>
    <row r="61" spans="1:22" ht="30" customHeight="1" x14ac:dyDescent="0.25">
      <c r="A61" s="24">
        <v>53220</v>
      </c>
      <c r="B61" s="33"/>
      <c r="C61" s="20"/>
      <c r="D61" s="34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73">
        <f>A61</f>
        <v>53220</v>
      </c>
      <c r="R61" s="16"/>
      <c r="S61" s="16"/>
      <c r="T61" s="56"/>
      <c r="U61" s="15"/>
      <c r="V61" s="14"/>
    </row>
    <row r="62" spans="1:22" ht="30" customHeight="1" x14ac:dyDescent="0.25">
      <c r="A62" s="17">
        <v>4235000</v>
      </c>
      <c r="B62" s="31" t="s">
        <v>342</v>
      </c>
      <c r="C62" s="22">
        <v>44961</v>
      </c>
      <c r="D62" s="32">
        <v>13</v>
      </c>
      <c r="E62" s="12">
        <f>3640000*20%</f>
        <v>728000</v>
      </c>
      <c r="F62" s="12">
        <v>296183.99</v>
      </c>
      <c r="G62" s="12">
        <f>ROUND(E62-F62,)</f>
        <v>431816</v>
      </c>
      <c r="H62" s="12">
        <f>ROUND(G62*$H$5,0)</f>
        <v>77727</v>
      </c>
      <c r="I62" s="12">
        <f>G62+H62</f>
        <v>509543</v>
      </c>
      <c r="J62" s="12">
        <f>ROUND(G62*$J$5,)</f>
        <v>4318</v>
      </c>
      <c r="K62" s="12">
        <f>ROUND(G62*$K$5,)</f>
        <v>21591</v>
      </c>
      <c r="L62" s="12">
        <f>ROUND(G62*$L$5,)</f>
        <v>0</v>
      </c>
      <c r="M62" s="12">
        <f>ROUND(G62*$M$5,)</f>
        <v>43182</v>
      </c>
      <c r="N62" s="96">
        <f>H62</f>
        <v>77727</v>
      </c>
      <c r="O62" s="12"/>
      <c r="P62" s="12">
        <f>ROUND(I62-SUM(J62:N62),0)</f>
        <v>362725</v>
      </c>
      <c r="Q62" s="75"/>
      <c r="R62" s="12" t="s">
        <v>47</v>
      </c>
      <c r="S62" s="12">
        <v>200000</v>
      </c>
      <c r="T62" s="26">
        <f>S62-1%*S62</f>
        <v>198000</v>
      </c>
      <c r="U62" s="14" t="s">
        <v>48</v>
      </c>
      <c r="V62" s="14"/>
    </row>
    <row r="63" spans="1:22" ht="30" customHeight="1" x14ac:dyDescent="0.25">
      <c r="A63" s="17"/>
      <c r="B63" s="31"/>
      <c r="C63" s="22">
        <v>44998</v>
      </c>
      <c r="D63" s="32">
        <v>23</v>
      </c>
      <c r="E63" s="12">
        <f>(4251823*20%)-E62</f>
        <v>122364.60000000009</v>
      </c>
      <c r="F63" s="12">
        <v>0</v>
      </c>
      <c r="G63" s="12">
        <f>ROUND(E63-F63,)</f>
        <v>122365</v>
      </c>
      <c r="H63" s="12">
        <f>ROUND(G63*$H$5,0)</f>
        <v>22026</v>
      </c>
      <c r="I63" s="12">
        <f>G63+H63</f>
        <v>144391</v>
      </c>
      <c r="J63" s="12">
        <f>ROUND(G63*$J$5,)</f>
        <v>1224</v>
      </c>
      <c r="K63" s="12">
        <f>ROUND(G63*$K$5,)</f>
        <v>6118</v>
      </c>
      <c r="L63" s="12">
        <f>ROUND(G63*$L$5,)</f>
        <v>0</v>
      </c>
      <c r="M63" s="12">
        <f>ROUND(G63*$M$5,)</f>
        <v>12237</v>
      </c>
      <c r="N63" s="12">
        <f>H63</f>
        <v>22026</v>
      </c>
      <c r="O63" s="12"/>
      <c r="P63" s="12">
        <f>ROUND(I63-SUM(J63:N63),0)</f>
        <v>102786</v>
      </c>
      <c r="Q63" s="59"/>
      <c r="R63" s="12" t="s">
        <v>49</v>
      </c>
      <c r="S63" s="12">
        <v>164725</v>
      </c>
      <c r="T63" s="26">
        <v>164725</v>
      </c>
      <c r="U63" s="14" t="s">
        <v>50</v>
      </c>
      <c r="V63" s="14"/>
    </row>
    <row r="64" spans="1:22" ht="30" customHeight="1" x14ac:dyDescent="0.25">
      <c r="A64" s="17"/>
      <c r="B64" s="31"/>
      <c r="C64" s="22">
        <v>45013</v>
      </c>
      <c r="D64" s="32">
        <v>31</v>
      </c>
      <c r="E64" s="12">
        <f>(4251823*20%)</f>
        <v>850364.60000000009</v>
      </c>
      <c r="F64" s="12">
        <v>421701</v>
      </c>
      <c r="G64" s="12">
        <f>ROUND(E64-F64,)</f>
        <v>428664</v>
      </c>
      <c r="H64" s="12">
        <f>ROUND(G64*$H$5,0)</f>
        <v>77160</v>
      </c>
      <c r="I64" s="12">
        <f>G64+H64</f>
        <v>505824</v>
      </c>
      <c r="J64" s="12">
        <f>ROUND(G64*$J$5,)</f>
        <v>4287</v>
      </c>
      <c r="K64" s="12">
        <f>ROUND(G64*$K$5,)</f>
        <v>21433</v>
      </c>
      <c r="L64" s="12">
        <f>ROUND(G64*$L$5,)</f>
        <v>0</v>
      </c>
      <c r="M64" s="12">
        <f>ROUND(G64*$M$5,)</f>
        <v>42866</v>
      </c>
      <c r="N64" s="12">
        <f>H64</f>
        <v>77160</v>
      </c>
      <c r="O64" s="12"/>
      <c r="P64" s="12">
        <f>ROUND(I64-SUM(J64:N64),0)</f>
        <v>360078</v>
      </c>
      <c r="Q64" s="59"/>
      <c r="R64" s="12" t="s">
        <v>79</v>
      </c>
      <c r="S64" s="12">
        <v>462864</v>
      </c>
      <c r="T64" s="26">
        <v>462864</v>
      </c>
      <c r="U64" s="14" t="s">
        <v>80</v>
      </c>
      <c r="V64" s="14"/>
    </row>
    <row r="65" spans="1:22" ht="30" customHeight="1" x14ac:dyDescent="0.25">
      <c r="A65" s="17" t="s">
        <v>112</v>
      </c>
      <c r="B65" s="31" t="s">
        <v>113</v>
      </c>
      <c r="C65" s="22"/>
      <c r="D65" s="32"/>
      <c r="E65" s="12">
        <v>-6729.2000000001863</v>
      </c>
      <c r="F65" s="12"/>
      <c r="G65" s="12">
        <v>-6729</v>
      </c>
      <c r="H65" s="12">
        <v>-1211</v>
      </c>
      <c r="I65" s="12">
        <v>-7940</v>
      </c>
      <c r="J65" s="12">
        <v>-67</v>
      </c>
      <c r="K65" s="12">
        <v>-336</v>
      </c>
      <c r="L65" s="12">
        <v>0</v>
      </c>
      <c r="M65" s="12">
        <v>-673</v>
      </c>
      <c r="N65" s="12">
        <v>-1211</v>
      </c>
      <c r="O65" s="12"/>
      <c r="P65" s="12">
        <v>-5653</v>
      </c>
      <c r="Q65" s="59"/>
      <c r="R65" s="12" t="s">
        <v>130</v>
      </c>
      <c r="S65" s="12">
        <v>200000</v>
      </c>
      <c r="T65" s="26">
        <f>S65-1%*S65</f>
        <v>198000</v>
      </c>
      <c r="U65" s="14" t="s">
        <v>129</v>
      </c>
      <c r="V65" s="14"/>
    </row>
    <row r="66" spans="1:22" ht="30" customHeight="1" x14ac:dyDescent="0.25">
      <c r="A66" s="17"/>
      <c r="B66" s="31" t="s">
        <v>116</v>
      </c>
      <c r="C66" s="22"/>
      <c r="D66" s="32">
        <v>23</v>
      </c>
      <c r="E66" s="12">
        <v>22026</v>
      </c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>
        <f>E66</f>
        <v>22026</v>
      </c>
      <c r="Q66" s="59"/>
      <c r="R66" s="12" t="s">
        <v>142</v>
      </c>
      <c r="S66" s="12">
        <v>200000</v>
      </c>
      <c r="T66" s="26">
        <f t="shared" ref="T66:T68" si="9">S66-1%*S66</f>
        <v>198000</v>
      </c>
      <c r="U66" s="14" t="s">
        <v>141</v>
      </c>
      <c r="V66" s="14"/>
    </row>
    <row r="67" spans="1:22" ht="30" customHeight="1" x14ac:dyDescent="0.25">
      <c r="A67" s="17"/>
      <c r="B67" s="31" t="s">
        <v>116</v>
      </c>
      <c r="C67" s="22"/>
      <c r="D67" s="32">
        <v>31</v>
      </c>
      <c r="E67" s="12">
        <v>77160</v>
      </c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>
        <f>E67</f>
        <v>77160</v>
      </c>
      <c r="Q67" s="59"/>
      <c r="R67" s="12" t="s">
        <v>185</v>
      </c>
      <c r="S67" s="12">
        <v>200000</v>
      </c>
      <c r="T67" s="26">
        <f t="shared" si="9"/>
        <v>198000</v>
      </c>
      <c r="U67" s="50" t="s">
        <v>184</v>
      </c>
      <c r="V67" s="14"/>
    </row>
    <row r="68" spans="1:22" ht="30" customHeight="1" x14ac:dyDescent="0.25">
      <c r="A68" s="17"/>
      <c r="B68" s="31"/>
      <c r="C68" s="22">
        <v>45146</v>
      </c>
      <c r="D68" s="95">
        <v>62210</v>
      </c>
      <c r="E68" s="12">
        <f>4235000*15%</f>
        <v>635250</v>
      </c>
      <c r="F68" s="12">
        <v>295022</v>
      </c>
      <c r="G68" s="12">
        <f>ROUND(E68-F68,)</f>
        <v>340228</v>
      </c>
      <c r="H68" s="12">
        <f>ROUND(G68*$H$5,0)</f>
        <v>61241</v>
      </c>
      <c r="I68" s="12">
        <f>G68+H68</f>
        <v>401469</v>
      </c>
      <c r="J68" s="12">
        <f>ROUND(G68*$J$5,)</f>
        <v>3402</v>
      </c>
      <c r="K68" s="12">
        <f>ROUND(G68*$K$5,)</f>
        <v>17011</v>
      </c>
      <c r="L68" s="12">
        <f>ROUND(G68*$L$5,)</f>
        <v>0</v>
      </c>
      <c r="M68" s="12">
        <f>ROUND(G68*$M$5,)</f>
        <v>34023</v>
      </c>
      <c r="N68" s="12">
        <f>H68</f>
        <v>61241</v>
      </c>
      <c r="O68" s="12"/>
      <c r="P68" s="12">
        <f>ROUND(I68-SUM(J68:N68),0)</f>
        <v>285792</v>
      </c>
      <c r="Q68" s="104" t="s">
        <v>425</v>
      </c>
      <c r="R68" s="12" t="s">
        <v>203</v>
      </c>
      <c r="S68" s="12">
        <v>300000</v>
      </c>
      <c r="T68" s="26">
        <f t="shared" si="9"/>
        <v>297000</v>
      </c>
      <c r="U68" s="50" t="s">
        <v>202</v>
      </c>
      <c r="V68" s="14"/>
    </row>
    <row r="69" spans="1:22" ht="30" customHeight="1" x14ac:dyDescent="0.25">
      <c r="A69" s="17"/>
      <c r="B69" s="31"/>
      <c r="C69" s="22">
        <v>45170</v>
      </c>
      <c r="D69" s="32" t="s">
        <v>424</v>
      </c>
      <c r="E69" s="12">
        <f>4235000*15%</f>
        <v>635250</v>
      </c>
      <c r="F69" s="12">
        <v>217499</v>
      </c>
      <c r="G69" s="12">
        <f>ROUND(E69-F69,)</f>
        <v>417751</v>
      </c>
      <c r="H69" s="12">
        <f>ROUND(G69*$H$5,0)</f>
        <v>75195</v>
      </c>
      <c r="I69" s="12">
        <f>G69+H69</f>
        <v>492946</v>
      </c>
      <c r="J69" s="12">
        <f>ROUND(G69*$J$5,)</f>
        <v>4178</v>
      </c>
      <c r="K69" s="12">
        <f>ROUND(G69*$K$5,)</f>
        <v>20888</v>
      </c>
      <c r="L69" s="12">
        <f>ROUND(G69*$L$5,)</f>
        <v>0</v>
      </c>
      <c r="M69" s="12">
        <f>ROUND(G69*$M$5,)</f>
        <v>41775</v>
      </c>
      <c r="N69" s="96">
        <f>H69</f>
        <v>75195</v>
      </c>
      <c r="O69" s="12"/>
      <c r="P69" s="12">
        <f>ROUND(I69-SUM(J69:N69),0)</f>
        <v>350910</v>
      </c>
      <c r="Q69" s="105" t="s">
        <v>426</v>
      </c>
      <c r="R69" s="12" t="s">
        <v>217</v>
      </c>
      <c r="S69" s="12">
        <v>150000</v>
      </c>
      <c r="T69" s="26">
        <v>1485000</v>
      </c>
      <c r="U69" s="14" t="s">
        <v>216</v>
      </c>
      <c r="V69" s="14"/>
    </row>
    <row r="70" spans="1:22" ht="30" customHeight="1" x14ac:dyDescent="0.25">
      <c r="A70" s="17"/>
      <c r="B70" s="31"/>
      <c r="C70" s="22">
        <v>45194</v>
      </c>
      <c r="D70" s="32" t="s">
        <v>438</v>
      </c>
      <c r="E70" s="12">
        <f>4235000*10%</f>
        <v>423500</v>
      </c>
      <c r="F70" s="12">
        <v>153762.94</v>
      </c>
      <c r="G70" s="12">
        <f>ROUND(E70-F70,)</f>
        <v>269737</v>
      </c>
      <c r="H70" s="12">
        <f>ROUND(G70*$H$5,0)</f>
        <v>48553</v>
      </c>
      <c r="I70" s="12">
        <f>G70+H70</f>
        <v>318290</v>
      </c>
      <c r="J70" s="12">
        <f>ROUND(G70*$J$5,)</f>
        <v>2697</v>
      </c>
      <c r="K70" s="12">
        <f>ROUND(G70*$K$5,)</f>
        <v>13487</v>
      </c>
      <c r="L70" s="12">
        <f>ROUND(G70*$L$5,)</f>
        <v>0</v>
      </c>
      <c r="M70" s="12">
        <f>ROUND(G70*$M$5,)</f>
        <v>26974</v>
      </c>
      <c r="N70" s="96">
        <f>H70</f>
        <v>48553</v>
      </c>
      <c r="O70" s="14"/>
      <c r="P70" s="12">
        <f>ROUND(I70-SUM(J70:N70),0)</f>
        <v>226579</v>
      </c>
      <c r="Q70" s="105" t="s">
        <v>426</v>
      </c>
      <c r="R70" s="12"/>
      <c r="S70" s="12"/>
      <c r="T70" s="26"/>
      <c r="U70" s="14"/>
      <c r="V70" s="14"/>
    </row>
    <row r="71" spans="1:22" ht="30" customHeight="1" x14ac:dyDescent="0.25">
      <c r="A71" s="17"/>
      <c r="B71" s="31" t="s">
        <v>116</v>
      </c>
      <c r="C71" s="22"/>
      <c r="D71" s="95">
        <f>D68</f>
        <v>62210</v>
      </c>
      <c r="E71" s="12">
        <f>N68</f>
        <v>61241</v>
      </c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>
        <f>E71</f>
        <v>61241</v>
      </c>
      <c r="Q71" s="59"/>
      <c r="R71" s="12"/>
      <c r="S71" s="12"/>
      <c r="T71" s="26"/>
      <c r="U71" s="14"/>
      <c r="V71" s="14"/>
    </row>
    <row r="72" spans="1:22" ht="30" customHeight="1" x14ac:dyDescent="0.25">
      <c r="A72" s="17"/>
      <c r="B72" s="31"/>
      <c r="C72" s="22"/>
      <c r="D72" s="3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59"/>
      <c r="R72" s="12"/>
      <c r="S72" s="12"/>
      <c r="T72" s="26"/>
      <c r="U72" s="14"/>
      <c r="V72" s="14"/>
    </row>
    <row r="73" spans="1:22" ht="30" customHeight="1" x14ac:dyDescent="0.25">
      <c r="A73" s="17"/>
      <c r="B73" s="31"/>
      <c r="C73" s="22"/>
      <c r="D73" s="3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59"/>
      <c r="R73" s="12"/>
      <c r="S73" s="12"/>
      <c r="T73" s="26"/>
      <c r="U73" s="14"/>
      <c r="V73" s="14"/>
    </row>
    <row r="74" spans="1:22" ht="30" customHeight="1" x14ac:dyDescent="0.25">
      <c r="A74" s="17"/>
      <c r="B74" s="31"/>
      <c r="C74" s="22"/>
      <c r="D74" s="3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59"/>
      <c r="R74" s="12"/>
      <c r="S74" s="12"/>
      <c r="T74" s="26"/>
      <c r="U74" s="14"/>
      <c r="V74" s="38">
        <f>SUM(P62:P74)-SUM(T62:T74)</f>
        <v>-1357945</v>
      </c>
    </row>
    <row r="75" spans="1:22" ht="30" customHeight="1" x14ac:dyDescent="0.25">
      <c r="A75" s="24">
        <v>53221</v>
      </c>
      <c r="B75" s="33"/>
      <c r="C75" s="20"/>
      <c r="D75" s="34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73">
        <f>A75</f>
        <v>53221</v>
      </c>
      <c r="R75" s="52"/>
      <c r="S75" s="52"/>
      <c r="T75" s="56"/>
      <c r="U75" s="28"/>
      <c r="V75" s="14"/>
    </row>
    <row r="76" spans="1:22" ht="30" customHeight="1" x14ac:dyDescent="0.25">
      <c r="A76" s="17">
        <v>5950000</v>
      </c>
      <c r="B76" s="31" t="s">
        <v>339</v>
      </c>
      <c r="C76" s="22">
        <v>45100</v>
      </c>
      <c r="D76" s="95">
        <v>20184</v>
      </c>
      <c r="E76" s="12">
        <f>5875000*25%</f>
        <v>1468750</v>
      </c>
      <c r="F76" s="12">
        <v>720978</v>
      </c>
      <c r="G76" s="12">
        <f>E76-F76</f>
        <v>747772</v>
      </c>
      <c r="H76" s="12">
        <f>ROUND(G76*18%,)</f>
        <v>134599</v>
      </c>
      <c r="I76" s="12">
        <f>G76+H76</f>
        <v>882371</v>
      </c>
      <c r="J76" s="12">
        <f>ROUND(G76*1%,)</f>
        <v>7478</v>
      </c>
      <c r="K76" s="12">
        <f>ROUND(G76*5%,)</f>
        <v>37389</v>
      </c>
      <c r="L76" s="12">
        <f>G76*10%</f>
        <v>74777.2</v>
      </c>
      <c r="M76" s="12"/>
      <c r="N76" s="96">
        <f t="shared" ref="N76:N78" si="10">G76*18%</f>
        <v>134598.96</v>
      </c>
      <c r="O76" s="12"/>
      <c r="P76" s="12">
        <f>I76-SUM(J76:N76)</f>
        <v>628127.84000000008</v>
      </c>
      <c r="Q76" s="126" t="s">
        <v>418</v>
      </c>
      <c r="R76" s="12" t="s">
        <v>91</v>
      </c>
      <c r="S76" s="12">
        <v>500000</v>
      </c>
      <c r="T76" s="26">
        <f t="shared" ref="T76:T78" si="11">S76-1%*S76</f>
        <v>495000</v>
      </c>
      <c r="U76" s="12" t="s">
        <v>92</v>
      </c>
      <c r="V76" s="14"/>
    </row>
    <row r="77" spans="1:22" ht="30" customHeight="1" x14ac:dyDescent="0.25">
      <c r="A77" s="17" t="s">
        <v>112</v>
      </c>
      <c r="B77" s="31"/>
      <c r="C77" s="22">
        <v>45141</v>
      </c>
      <c r="D77" s="95">
        <v>52200</v>
      </c>
      <c r="E77" s="12">
        <v>6250</v>
      </c>
      <c r="F77" s="12">
        <v>0</v>
      </c>
      <c r="G77" s="12">
        <v>6250</v>
      </c>
      <c r="H77" s="12">
        <v>1125</v>
      </c>
      <c r="I77" s="12">
        <v>7375</v>
      </c>
      <c r="J77" s="12">
        <v>63</v>
      </c>
      <c r="K77" s="12">
        <v>313</v>
      </c>
      <c r="L77" s="12">
        <v>625</v>
      </c>
      <c r="M77" s="12"/>
      <c r="N77" s="96">
        <f t="shared" si="10"/>
        <v>1125</v>
      </c>
      <c r="O77" s="12"/>
      <c r="P77" s="12">
        <v>5249</v>
      </c>
      <c r="Q77" s="126" t="s">
        <v>418</v>
      </c>
      <c r="R77" s="12" t="s">
        <v>93</v>
      </c>
      <c r="S77" s="12">
        <v>300000</v>
      </c>
      <c r="T77" s="26">
        <f t="shared" si="11"/>
        <v>297000</v>
      </c>
      <c r="U77" s="12" t="s">
        <v>94</v>
      </c>
      <c r="V77" s="14"/>
    </row>
    <row r="78" spans="1:22" ht="30" customHeight="1" x14ac:dyDescent="0.25">
      <c r="A78" s="17"/>
      <c r="B78" s="31"/>
      <c r="C78" s="22">
        <v>45162</v>
      </c>
      <c r="D78" s="32" t="s">
        <v>419</v>
      </c>
      <c r="E78" s="12">
        <v>885000</v>
      </c>
      <c r="F78" s="12">
        <v>216684.18</v>
      </c>
      <c r="G78" s="12">
        <f>E78-F78</f>
        <v>668315.82000000007</v>
      </c>
      <c r="H78" s="12">
        <f>ROUND(G78*18%,)</f>
        <v>120297</v>
      </c>
      <c r="I78" s="12">
        <f>G78+H78</f>
        <v>788612.82000000007</v>
      </c>
      <c r="J78" s="12">
        <f>ROUND(G78*$J$5,)</f>
        <v>6683</v>
      </c>
      <c r="K78" s="12">
        <f>ROUND(G78*$K$5,)</f>
        <v>33416</v>
      </c>
      <c r="L78" s="12">
        <f>G78*10%</f>
        <v>66831.582000000009</v>
      </c>
      <c r="M78" s="12"/>
      <c r="N78" s="96">
        <f t="shared" si="10"/>
        <v>120296.84760000001</v>
      </c>
      <c r="O78" s="12"/>
      <c r="P78" s="12">
        <f>I78-SUM(J78:N78)</f>
        <v>561385.39040000003</v>
      </c>
      <c r="Q78" s="127" t="s">
        <v>421</v>
      </c>
      <c r="R78" s="12" t="s">
        <v>103</v>
      </c>
      <c r="S78" s="12">
        <v>200000</v>
      </c>
      <c r="T78" s="26">
        <f t="shared" si="11"/>
        <v>198000</v>
      </c>
      <c r="U78" s="35" t="s">
        <v>104</v>
      </c>
      <c r="V78" s="14"/>
    </row>
    <row r="79" spans="1:22" ht="30" customHeight="1" x14ac:dyDescent="0.25">
      <c r="A79" s="17"/>
      <c r="B79" s="31"/>
      <c r="C79" s="22">
        <v>45225</v>
      </c>
      <c r="D79" s="32">
        <v>123</v>
      </c>
      <c r="E79" s="12">
        <v>885000</v>
      </c>
      <c r="F79" s="12">
        <v>316871</v>
      </c>
      <c r="G79" s="12">
        <f>E79-F79</f>
        <v>568129</v>
      </c>
      <c r="H79" s="12">
        <f>G79*18%</f>
        <v>102263.22</v>
      </c>
      <c r="I79" s="12">
        <f>G79+H79</f>
        <v>670392.22</v>
      </c>
      <c r="J79" s="12">
        <f>I79*1%</f>
        <v>6703.9222</v>
      </c>
      <c r="K79" s="12">
        <f>I79*5%</f>
        <v>33519.610999999997</v>
      </c>
      <c r="L79" s="12" t="s">
        <v>212</v>
      </c>
      <c r="M79" s="12"/>
      <c r="N79" s="96">
        <f>G79*18%</f>
        <v>102263.22</v>
      </c>
      <c r="O79" s="12">
        <v>102263</v>
      </c>
      <c r="P79" s="12">
        <v>477228</v>
      </c>
      <c r="Q79" s="59"/>
      <c r="R79" s="12" t="s">
        <v>181</v>
      </c>
      <c r="S79" s="12">
        <v>200000</v>
      </c>
      <c r="T79" s="26">
        <f>S79-1%*S79</f>
        <v>198000</v>
      </c>
      <c r="U79" s="35" t="s">
        <v>180</v>
      </c>
      <c r="V79" s="14"/>
    </row>
    <row r="80" spans="1:22" ht="30" customHeight="1" x14ac:dyDescent="0.25">
      <c r="A80" s="17"/>
      <c r="B80" s="31"/>
      <c r="C80" s="22">
        <v>45296</v>
      </c>
      <c r="D80" s="32">
        <v>155</v>
      </c>
      <c r="E80" s="12">
        <v>885000</v>
      </c>
      <c r="F80" s="12">
        <v>125608</v>
      </c>
      <c r="G80" s="12">
        <f>E80-F80</f>
        <v>759392</v>
      </c>
      <c r="H80" s="110">
        <f>G80*18%</f>
        <v>136690.56</v>
      </c>
      <c r="I80" s="12">
        <f>G80+H80</f>
        <v>896082.56</v>
      </c>
      <c r="J80" s="12">
        <f>G80*1%</f>
        <v>7593.92</v>
      </c>
      <c r="K80" s="12">
        <f>G80*5%</f>
        <v>37969.599999999999</v>
      </c>
      <c r="L80" s="12" t="s">
        <v>212</v>
      </c>
      <c r="M80" s="12">
        <f>G80*10%</f>
        <v>75939.199999999997</v>
      </c>
      <c r="N80" s="96">
        <f>G80*18%</f>
        <v>136690.56</v>
      </c>
      <c r="O80" s="12">
        <v>0</v>
      </c>
      <c r="P80" s="12">
        <f>G80-J80-K80-M80</f>
        <v>637889.28000000003</v>
      </c>
      <c r="Q80" s="59"/>
      <c r="R80" s="12" t="s">
        <v>251</v>
      </c>
      <c r="S80" s="12">
        <v>450000</v>
      </c>
      <c r="T80" s="26">
        <f>S80-1%*S80</f>
        <v>445500</v>
      </c>
      <c r="U80" s="35" t="s">
        <v>250</v>
      </c>
      <c r="V80" s="14"/>
    </row>
    <row r="81" spans="1:77" ht="30" customHeight="1" x14ac:dyDescent="0.25">
      <c r="A81" s="17"/>
      <c r="B81" s="31"/>
      <c r="C81" s="22">
        <v>45318</v>
      </c>
      <c r="D81" s="32">
        <v>180</v>
      </c>
      <c r="E81" s="12">
        <v>590000</v>
      </c>
      <c r="F81" s="12">
        <v>195671</v>
      </c>
      <c r="G81" s="12">
        <f>E81-F81</f>
        <v>394329</v>
      </c>
      <c r="H81" s="12">
        <f>G81*18%</f>
        <v>70979.22</v>
      </c>
      <c r="I81" s="12">
        <f>G81+H81</f>
        <v>465308.22</v>
      </c>
      <c r="J81" s="12">
        <f>G81*1%</f>
        <v>3943.29</v>
      </c>
      <c r="K81" s="12">
        <f>G81*5%</f>
        <v>19716.45</v>
      </c>
      <c r="L81" s="12" t="s">
        <v>212</v>
      </c>
      <c r="M81" s="12">
        <v>0</v>
      </c>
      <c r="N81" s="96">
        <f>G81*18%</f>
        <v>70979.22</v>
      </c>
      <c r="O81" s="12">
        <v>295000</v>
      </c>
      <c r="P81" s="12">
        <f>G81-J81-K81-M81-O81</f>
        <v>75669.260000000009</v>
      </c>
      <c r="Q81" s="59"/>
      <c r="R81" s="12" t="s">
        <v>412</v>
      </c>
      <c r="S81" s="12">
        <v>7500000</v>
      </c>
      <c r="T81" s="26">
        <v>712500</v>
      </c>
      <c r="U81" s="35" t="s">
        <v>411</v>
      </c>
      <c r="V81" s="14"/>
    </row>
    <row r="82" spans="1:77" ht="30" customHeight="1" x14ac:dyDescent="0.25">
      <c r="A82" s="17"/>
      <c r="B82" s="31"/>
      <c r="C82" s="22"/>
      <c r="D82" s="3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59"/>
      <c r="R82" s="12" t="s">
        <v>455</v>
      </c>
      <c r="S82" s="12">
        <v>500000</v>
      </c>
      <c r="T82" s="26">
        <v>495000</v>
      </c>
      <c r="U82" s="35" t="s">
        <v>454</v>
      </c>
      <c r="V82" s="14"/>
    </row>
    <row r="83" spans="1:77" ht="30" customHeight="1" x14ac:dyDescent="0.25">
      <c r="A83" s="17"/>
      <c r="B83" s="31"/>
      <c r="C83" s="22"/>
      <c r="D83" s="3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59"/>
      <c r="R83" s="12"/>
      <c r="S83" s="12"/>
      <c r="T83" s="26"/>
      <c r="U83" s="35"/>
      <c r="V83" s="14"/>
    </row>
    <row r="84" spans="1:77" ht="30" customHeight="1" x14ac:dyDescent="0.25">
      <c r="A84" s="17"/>
      <c r="B84" s="31"/>
      <c r="C84" s="22"/>
      <c r="D84" s="3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59"/>
      <c r="R84" s="12"/>
      <c r="S84" s="12"/>
      <c r="T84" s="26"/>
      <c r="U84" s="12"/>
      <c r="V84" s="38">
        <f>SUM(P76:P84)-SUM(T76:T84)</f>
        <v>-455451.2296000002</v>
      </c>
    </row>
    <row r="85" spans="1:77" ht="30" customHeight="1" x14ac:dyDescent="0.25">
      <c r="A85" s="24">
        <v>53222</v>
      </c>
      <c r="B85" s="33"/>
      <c r="C85" s="20"/>
      <c r="D85" s="34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73">
        <f>A85</f>
        <v>53222</v>
      </c>
      <c r="R85" s="16"/>
      <c r="S85" s="16"/>
      <c r="T85" s="56"/>
      <c r="U85" s="15"/>
      <c r="V85" s="14"/>
    </row>
    <row r="86" spans="1:77" ht="30" customHeight="1" x14ac:dyDescent="0.25">
      <c r="A86" s="17">
        <v>3780000</v>
      </c>
      <c r="B86" s="31" t="s">
        <v>338</v>
      </c>
      <c r="C86" s="22">
        <v>45030</v>
      </c>
      <c r="D86" s="32">
        <v>1</v>
      </c>
      <c r="E86" s="12">
        <f>4251823*25%</f>
        <v>1062955.75</v>
      </c>
      <c r="F86" s="12">
        <v>380270</v>
      </c>
      <c r="G86" s="12">
        <f>ROUND(E86-F86,)</f>
        <v>682686</v>
      </c>
      <c r="H86" s="12">
        <f>ROUND(G86*$H$5,0)</f>
        <v>122883</v>
      </c>
      <c r="I86" s="12">
        <f>G86+H86</f>
        <v>805569</v>
      </c>
      <c r="J86" s="12">
        <f>ROUND(G86*$J$5,)</f>
        <v>6827</v>
      </c>
      <c r="K86" s="12">
        <f>ROUND(G86*$K$5,)</f>
        <v>34134</v>
      </c>
      <c r="L86" s="12">
        <f>ROUND(G86*$L$5,)</f>
        <v>0</v>
      </c>
      <c r="M86" s="12">
        <f>ROUND(G86*$M$5,)</f>
        <v>68269</v>
      </c>
      <c r="N86" s="96">
        <f>H86</f>
        <v>122883</v>
      </c>
      <c r="O86" s="12"/>
      <c r="P86" s="12">
        <f>ROUND(I86-SUM(J86:N86),0)</f>
        <v>573456</v>
      </c>
      <c r="Q86" s="59"/>
      <c r="R86" s="12" t="s">
        <v>57</v>
      </c>
      <c r="S86" s="12">
        <v>300000</v>
      </c>
      <c r="T86" s="26">
        <f>S86-1%*S86</f>
        <v>297000</v>
      </c>
      <c r="U86" s="14" t="s">
        <v>58</v>
      </c>
      <c r="V86" s="14"/>
    </row>
    <row r="87" spans="1:77" ht="30" customHeight="1" x14ac:dyDescent="0.25">
      <c r="A87" s="17"/>
      <c r="B87" s="31"/>
      <c r="C87" s="22">
        <v>45069</v>
      </c>
      <c r="D87" s="32">
        <v>15</v>
      </c>
      <c r="E87" s="12">
        <f>(4251823*40%)-E86</f>
        <v>637773.45000000019</v>
      </c>
      <c r="F87" s="12">
        <v>463403</v>
      </c>
      <c r="G87" s="12">
        <f>ROUND(E87-F87,)</f>
        <v>174370</v>
      </c>
      <c r="H87" s="12">
        <f>ROUND(G87*$H$5,0)</f>
        <v>31387</v>
      </c>
      <c r="I87" s="12">
        <f>G87+H87</f>
        <v>205757</v>
      </c>
      <c r="J87" s="12">
        <f>ROUND(G87*$J$5,)</f>
        <v>1744</v>
      </c>
      <c r="K87" s="12">
        <f>ROUND(G87*$K$5,)</f>
        <v>8719</v>
      </c>
      <c r="L87" s="12">
        <f>ROUND(G87*$L$5,)</f>
        <v>0</v>
      </c>
      <c r="M87" s="12">
        <f>ROUND(G87*$M$5,)</f>
        <v>17437</v>
      </c>
      <c r="N87" s="96">
        <f>H87</f>
        <v>31387</v>
      </c>
      <c r="O87" s="12"/>
      <c r="P87" s="12">
        <f>ROUND(I87-SUM(J87:N87),0)</f>
        <v>146470</v>
      </c>
      <c r="Q87" s="59"/>
      <c r="R87" s="12" t="s">
        <v>59</v>
      </c>
      <c r="S87" s="12">
        <v>200000</v>
      </c>
      <c r="T87" s="26">
        <f>S87-1%*S87</f>
        <v>198000</v>
      </c>
      <c r="U87" s="14" t="s">
        <v>60</v>
      </c>
      <c r="V87" s="14"/>
    </row>
    <row r="88" spans="1:77" ht="30" customHeight="1" x14ac:dyDescent="0.25">
      <c r="A88" s="17"/>
      <c r="B88" s="31"/>
      <c r="C88" s="22">
        <v>45134</v>
      </c>
      <c r="D88" s="32" t="s">
        <v>400</v>
      </c>
      <c r="E88" s="12">
        <v>637773.44999999995</v>
      </c>
      <c r="F88" s="12">
        <v>363447</v>
      </c>
      <c r="G88" s="12">
        <f>ROUND(E88-F88,)</f>
        <v>274326</v>
      </c>
      <c r="H88" s="12">
        <f>ROUND(G88*$H$5,0)</f>
        <v>49379</v>
      </c>
      <c r="I88" s="12">
        <f>G88+H88</f>
        <v>323705</v>
      </c>
      <c r="J88" s="12">
        <f>ROUND(G88*$J$5,)</f>
        <v>2743</v>
      </c>
      <c r="K88" s="12">
        <f>ROUND(G88*$K$5,)</f>
        <v>13716</v>
      </c>
      <c r="L88" s="12">
        <f>ROUND(G88*$L$5,)</f>
        <v>0</v>
      </c>
      <c r="M88" s="12">
        <f>ROUND(G88*$M$5,)</f>
        <v>27433</v>
      </c>
      <c r="N88" s="12">
        <f>H88</f>
        <v>49379</v>
      </c>
      <c r="O88" s="12"/>
      <c r="P88" s="12">
        <f>ROUND(I88-SUM(J88:N88),0)</f>
        <v>230434</v>
      </c>
      <c r="Q88" s="59"/>
      <c r="R88" s="12" t="s">
        <v>66</v>
      </c>
      <c r="S88" s="12">
        <v>78456</v>
      </c>
      <c r="T88" s="26">
        <v>78456</v>
      </c>
      <c r="U88" s="14" t="s">
        <v>67</v>
      </c>
      <c r="V88" s="14"/>
    </row>
    <row r="89" spans="1:77" ht="30" customHeight="1" x14ac:dyDescent="0.25">
      <c r="A89" s="17" t="s">
        <v>112</v>
      </c>
      <c r="B89" s="31" t="s">
        <v>113</v>
      </c>
      <c r="C89" s="22">
        <v>45141</v>
      </c>
      <c r="D89" s="32">
        <v>2</v>
      </c>
      <c r="E89" s="12">
        <v>-9252.65</v>
      </c>
      <c r="F89" s="12"/>
      <c r="G89" s="12">
        <v>-9253</v>
      </c>
      <c r="H89" s="12">
        <v>-1666</v>
      </c>
      <c r="I89" s="12">
        <v>-10919</v>
      </c>
      <c r="J89" s="12"/>
      <c r="K89" s="12"/>
      <c r="L89" s="12"/>
      <c r="M89" s="12"/>
      <c r="N89" s="12"/>
      <c r="O89" s="12"/>
      <c r="P89" s="12">
        <f>I89</f>
        <v>-10919</v>
      </c>
      <c r="Q89" s="59"/>
      <c r="R89" s="12" t="s">
        <v>68</v>
      </c>
      <c r="S89" s="12">
        <v>500000</v>
      </c>
      <c r="T89" s="26">
        <f>S89-1%*S89</f>
        <v>495000</v>
      </c>
      <c r="U89" s="14" t="s">
        <v>69</v>
      </c>
      <c r="V89" s="14"/>
    </row>
    <row r="90" spans="1:77" ht="30" customHeight="1" x14ac:dyDescent="0.25">
      <c r="A90" s="17"/>
      <c r="B90" s="31" t="s">
        <v>116</v>
      </c>
      <c r="C90" s="22"/>
      <c r="D90" s="32" t="s">
        <v>400</v>
      </c>
      <c r="E90" s="12">
        <f>N88</f>
        <v>49379</v>
      </c>
      <c r="F90" s="12"/>
      <c r="G90" s="12">
        <v>0</v>
      </c>
      <c r="H90" s="12"/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f>H668</f>
        <v>0</v>
      </c>
      <c r="O90" s="12"/>
      <c r="P90" s="12">
        <f t="shared" ref="P90" si="12">E90</f>
        <v>49379</v>
      </c>
      <c r="Q90" s="59"/>
      <c r="R90" s="12" t="s">
        <v>81</v>
      </c>
      <c r="S90" s="12">
        <v>300000</v>
      </c>
      <c r="T90" s="26">
        <f t="shared" ref="T90:T91" si="13">S90-1%*S90</f>
        <v>297000</v>
      </c>
      <c r="U90" s="14" t="s">
        <v>82</v>
      </c>
      <c r="V90" s="14"/>
    </row>
    <row r="91" spans="1:77" ht="30" customHeight="1" x14ac:dyDescent="0.25">
      <c r="A91" s="17"/>
      <c r="B91" s="31"/>
      <c r="C91" s="22"/>
      <c r="D91" s="3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59"/>
      <c r="R91" s="12" t="s">
        <v>131</v>
      </c>
      <c r="S91" s="12">
        <v>200000</v>
      </c>
      <c r="T91" s="26">
        <f t="shared" si="13"/>
        <v>198000</v>
      </c>
      <c r="U91" s="35" t="s">
        <v>108</v>
      </c>
      <c r="V91" s="14"/>
    </row>
    <row r="92" spans="1:77" ht="30" customHeight="1" x14ac:dyDescent="0.25">
      <c r="A92" s="17"/>
      <c r="B92" s="31"/>
      <c r="C92" s="22"/>
      <c r="D92" s="3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59"/>
      <c r="R92" s="12"/>
      <c r="S92" s="12"/>
      <c r="T92" s="26"/>
      <c r="U92" s="35"/>
      <c r="V92" s="38">
        <f>SUM(P86:P92)-SUM(T86:T92)</f>
        <v>-574636</v>
      </c>
    </row>
    <row r="93" spans="1:77" s="29" customFormat="1" ht="30" customHeight="1" x14ac:dyDescent="0.25">
      <c r="A93" s="24">
        <v>53223</v>
      </c>
      <c r="B93" s="33"/>
      <c r="C93" s="20"/>
      <c r="D93" s="34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73">
        <f>A93</f>
        <v>53223</v>
      </c>
      <c r="R93" s="15"/>
      <c r="S93" s="40"/>
      <c r="T93" s="113"/>
      <c r="U93" s="15"/>
      <c r="V93" s="15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</row>
    <row r="94" spans="1:77" ht="30" customHeight="1" x14ac:dyDescent="0.25">
      <c r="A94" s="17">
        <v>2475000</v>
      </c>
      <c r="B94" s="31" t="s">
        <v>333</v>
      </c>
      <c r="C94" s="22">
        <v>45199</v>
      </c>
      <c r="D94" s="32" t="s">
        <v>443</v>
      </c>
      <c r="E94" s="12">
        <f>2475000*15%</f>
        <v>371250</v>
      </c>
      <c r="F94" s="12">
        <v>179560.91</v>
      </c>
      <c r="G94" s="12">
        <f>E94-F94</f>
        <v>191689.09</v>
      </c>
      <c r="H94" s="12">
        <f>ROUND(G94*18%,)</f>
        <v>34504</v>
      </c>
      <c r="I94" s="12">
        <f>G94+H94</f>
        <v>226193.09</v>
      </c>
      <c r="J94" s="12">
        <f>ROUND(G94*$J$5,)</f>
        <v>1917</v>
      </c>
      <c r="K94" s="12">
        <f>ROUND(G94*$K$5,)</f>
        <v>9584</v>
      </c>
      <c r="L94" s="12">
        <f>ROUND(G94*$L$7,)</f>
        <v>0</v>
      </c>
      <c r="M94" s="12">
        <f>ROUND(G94*$M$5,)</f>
        <v>19169</v>
      </c>
      <c r="N94" s="96">
        <f>H94</f>
        <v>34504</v>
      </c>
      <c r="O94" s="12">
        <v>56357</v>
      </c>
      <c r="P94" s="12">
        <f>I94-SUM(J94:O94)</f>
        <v>104662.09</v>
      </c>
      <c r="Q94" s="127" t="s">
        <v>442</v>
      </c>
      <c r="R94" s="14" t="s">
        <v>170</v>
      </c>
      <c r="S94" s="37">
        <v>200000</v>
      </c>
      <c r="T94" s="26">
        <f t="shared" ref="T94:T140" si="14">S94-1%*S94</f>
        <v>198000</v>
      </c>
      <c r="U94" s="14" t="s">
        <v>191</v>
      </c>
      <c r="V94" s="14"/>
    </row>
    <row r="95" spans="1:77" ht="30" customHeight="1" x14ac:dyDescent="0.25">
      <c r="A95" s="17"/>
      <c r="B95" s="31"/>
      <c r="C95" s="22"/>
      <c r="D95" s="32"/>
      <c r="E95" s="12"/>
      <c r="F95" s="12"/>
      <c r="G95" s="12"/>
      <c r="H95" s="12"/>
      <c r="I95" s="12"/>
      <c r="J95" s="12"/>
      <c r="K95" s="12"/>
      <c r="L95" s="12"/>
      <c r="M95" s="12"/>
      <c r="N95" s="38"/>
      <c r="O95" s="38"/>
      <c r="P95" s="12"/>
      <c r="Q95" s="128"/>
      <c r="R95" s="14"/>
      <c r="S95" s="37"/>
      <c r="T95" s="26"/>
      <c r="U95" s="14"/>
      <c r="V95" s="38">
        <f>SUM(P94:P95)-SUM(T94:T95)</f>
        <v>-93337.91</v>
      </c>
    </row>
    <row r="96" spans="1:77" s="29" customFormat="1" ht="30" customHeight="1" x14ac:dyDescent="0.25">
      <c r="A96" s="24">
        <v>53224</v>
      </c>
      <c r="B96" s="33"/>
      <c r="C96" s="20"/>
      <c r="D96" s="34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73">
        <f>A96</f>
        <v>53224</v>
      </c>
      <c r="R96" s="15"/>
      <c r="S96" s="40"/>
      <c r="T96" s="113"/>
      <c r="U96" s="15"/>
      <c r="V96" s="15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</row>
    <row r="97" spans="1:77" ht="30" customHeight="1" x14ac:dyDescent="0.25">
      <c r="A97" s="17">
        <v>3780000</v>
      </c>
      <c r="B97" s="31" t="s">
        <v>334</v>
      </c>
      <c r="C97" s="22">
        <v>45013</v>
      </c>
      <c r="D97" s="32">
        <v>29</v>
      </c>
      <c r="E97" s="12">
        <f>3483249*25%</f>
        <v>870812.25</v>
      </c>
      <c r="F97" s="12">
        <v>275497</v>
      </c>
      <c r="G97" s="12">
        <f>ROUND(E97-F97,)</f>
        <v>595315</v>
      </c>
      <c r="H97" s="12">
        <f>ROUND(G97*$H$5,0)</f>
        <v>107157</v>
      </c>
      <c r="I97" s="12">
        <f>G97+H97</f>
        <v>702472</v>
      </c>
      <c r="J97" s="12">
        <f>ROUND(G97*$J$5,)</f>
        <v>5953</v>
      </c>
      <c r="K97" s="12">
        <f>ROUND(G97*$K$5,)</f>
        <v>29766</v>
      </c>
      <c r="L97" s="12">
        <f>ROUND(G97*$L$5,)</f>
        <v>0</v>
      </c>
      <c r="M97" s="12">
        <f>ROUND(G97*$M$5,)</f>
        <v>59532</v>
      </c>
      <c r="N97" s="12">
        <f>H97</f>
        <v>107157</v>
      </c>
      <c r="O97" s="12"/>
      <c r="P97" s="12">
        <f>ROUND(I97-SUM(J97:N97),0)</f>
        <v>500064</v>
      </c>
      <c r="Q97" s="59"/>
      <c r="R97" s="12" t="s">
        <v>51</v>
      </c>
      <c r="S97" s="12">
        <v>200000</v>
      </c>
      <c r="T97" s="26">
        <f>S97-1%*S97</f>
        <v>198000</v>
      </c>
      <c r="U97" s="14" t="s">
        <v>52</v>
      </c>
      <c r="V97" s="14"/>
    </row>
    <row r="98" spans="1:77" ht="30" customHeight="1" x14ac:dyDescent="0.25">
      <c r="A98" s="17"/>
      <c r="B98" s="31"/>
      <c r="C98" s="22">
        <v>45117</v>
      </c>
      <c r="D98" s="32" t="s">
        <v>335</v>
      </c>
      <c r="E98" s="12">
        <v>522487.35</v>
      </c>
      <c r="F98" s="12">
        <v>425439</v>
      </c>
      <c r="G98" s="12">
        <f>ROUND(E98-F98,)</f>
        <v>97048</v>
      </c>
      <c r="H98" s="12">
        <f>ROUND(G98*$H$5,0)</f>
        <v>17469</v>
      </c>
      <c r="I98" s="12">
        <f>G98+H98</f>
        <v>114517</v>
      </c>
      <c r="J98" s="12">
        <f>ROUND(G98*$J$5,)</f>
        <v>970</v>
      </c>
      <c r="K98" s="12">
        <f>ROUND(G98*$K$5,)</f>
        <v>4852</v>
      </c>
      <c r="L98" s="12">
        <f>ROUND(G98*$L$5,)</f>
        <v>0</v>
      </c>
      <c r="M98" s="12">
        <f>ROUND(G98*$M$5,)</f>
        <v>9705</v>
      </c>
      <c r="N98" s="12">
        <f>H98</f>
        <v>17469</v>
      </c>
      <c r="O98" s="12"/>
      <c r="P98" s="12">
        <f>ROUND(I98-SUM(J98:N98),0)</f>
        <v>81521</v>
      </c>
      <c r="Q98" s="59"/>
      <c r="R98" s="12" t="s">
        <v>83</v>
      </c>
      <c r="S98" s="12">
        <v>302065</v>
      </c>
      <c r="T98" s="26">
        <v>302065</v>
      </c>
      <c r="U98" s="14" t="s">
        <v>84</v>
      </c>
      <c r="V98" s="14"/>
    </row>
    <row r="99" spans="1:77" ht="30" customHeight="1" x14ac:dyDescent="0.25">
      <c r="A99" s="17" t="s">
        <v>112</v>
      </c>
      <c r="B99" s="31"/>
      <c r="C99" s="22">
        <v>45139</v>
      </c>
      <c r="D99" s="95">
        <v>45194</v>
      </c>
      <c r="E99" s="12">
        <v>118700.40000000002</v>
      </c>
      <c r="F99" s="12">
        <v>0</v>
      </c>
      <c r="G99" s="12">
        <v>118700</v>
      </c>
      <c r="H99" s="12">
        <v>21366</v>
      </c>
      <c r="I99" s="12">
        <v>140066</v>
      </c>
      <c r="J99" s="12">
        <v>1187</v>
      </c>
      <c r="K99" s="12">
        <v>5935</v>
      </c>
      <c r="L99" s="12">
        <v>0</v>
      </c>
      <c r="M99" s="12">
        <v>11870</v>
      </c>
      <c r="N99" s="96">
        <v>21366</v>
      </c>
      <c r="O99" s="12"/>
      <c r="P99" s="12">
        <v>99708</v>
      </c>
      <c r="Q99" s="104" t="s">
        <v>418</v>
      </c>
      <c r="R99" s="12" t="s">
        <v>95</v>
      </c>
      <c r="S99" s="12">
        <v>200000</v>
      </c>
      <c r="T99" s="26">
        <f>S99-1%*S99</f>
        <v>198000</v>
      </c>
      <c r="U99" s="14" t="s">
        <v>96</v>
      </c>
      <c r="V99" s="14"/>
    </row>
    <row r="100" spans="1:77" ht="30" customHeight="1" x14ac:dyDescent="0.25">
      <c r="A100" s="17"/>
      <c r="B100" s="31"/>
      <c r="C100" s="22">
        <v>45150</v>
      </c>
      <c r="D100" s="95">
        <v>68215</v>
      </c>
      <c r="E100" s="12">
        <v>567000</v>
      </c>
      <c r="F100" s="12">
        <v>231229</v>
      </c>
      <c r="G100" s="12">
        <f>ROUND(E100-F100,)</f>
        <v>335771</v>
      </c>
      <c r="H100" s="12">
        <f>ROUND(G100*$H$5,0)</f>
        <v>60439</v>
      </c>
      <c r="I100" s="12">
        <f>G100+H100</f>
        <v>396210</v>
      </c>
      <c r="J100" s="12">
        <f>ROUND(G100*$J$5,)</f>
        <v>3358</v>
      </c>
      <c r="K100" s="12">
        <f>ROUND(G100*$K$5,)</f>
        <v>16789</v>
      </c>
      <c r="L100" s="12">
        <f>ROUND(G100*$L$5,)</f>
        <v>0</v>
      </c>
      <c r="M100" s="12">
        <f>ROUND(G100*$M$5,)</f>
        <v>33577</v>
      </c>
      <c r="N100" s="96">
        <f>H100</f>
        <v>60439</v>
      </c>
      <c r="O100" s="12"/>
      <c r="P100" s="12">
        <f>ROUND(I100-SUM(J100:N100),0)</f>
        <v>282047</v>
      </c>
      <c r="Q100" s="104" t="s">
        <v>418</v>
      </c>
      <c r="R100" s="12" t="s">
        <v>143</v>
      </c>
      <c r="S100" s="12">
        <v>200000</v>
      </c>
      <c r="T100" s="26">
        <f t="shared" ref="T100:T101" si="15">S100-1%*S100</f>
        <v>198000</v>
      </c>
      <c r="U100" s="35" t="s">
        <v>109</v>
      </c>
      <c r="V100" s="14"/>
    </row>
    <row r="101" spans="1:77" ht="30" customHeight="1" x14ac:dyDescent="0.25">
      <c r="A101" s="17"/>
      <c r="B101" s="31"/>
      <c r="C101" s="22">
        <v>45170</v>
      </c>
      <c r="D101" s="32" t="s">
        <v>448</v>
      </c>
      <c r="E101" s="12">
        <f>3780000*15%</f>
        <v>567000</v>
      </c>
      <c r="F101" s="12">
        <v>207727.13</v>
      </c>
      <c r="G101" s="12">
        <f>ROUND(E101-F101,)</f>
        <v>359273</v>
      </c>
      <c r="H101" s="12">
        <f>ROUND(G101*$H$5,0)</f>
        <v>64669</v>
      </c>
      <c r="I101" s="12">
        <f>G101+H101</f>
        <v>423942</v>
      </c>
      <c r="J101" s="12">
        <f>ROUND(G101*$J$5,)</f>
        <v>3593</v>
      </c>
      <c r="K101" s="12">
        <f>ROUND(G101*$K$5,)</f>
        <v>17964</v>
      </c>
      <c r="L101" s="12">
        <f>ROUND(G101*$L$5,)</f>
        <v>0</v>
      </c>
      <c r="M101" s="12">
        <f>ROUND(G101*$M$5,)</f>
        <v>35927</v>
      </c>
      <c r="N101" s="96">
        <f>H101</f>
        <v>64669</v>
      </c>
      <c r="O101" s="12"/>
      <c r="P101" s="12">
        <f>ROUND(I101-SUM(J101:N101),0)</f>
        <v>301789</v>
      </c>
      <c r="Q101" s="127" t="s">
        <v>442</v>
      </c>
      <c r="R101" s="12" t="s">
        <v>187</v>
      </c>
      <c r="S101" s="12">
        <v>500000</v>
      </c>
      <c r="T101" s="26">
        <f t="shared" si="15"/>
        <v>495000</v>
      </c>
      <c r="U101" s="35" t="s">
        <v>186</v>
      </c>
      <c r="V101" s="14"/>
    </row>
    <row r="102" spans="1:77" ht="30" customHeight="1" x14ac:dyDescent="0.25">
      <c r="A102" s="17"/>
      <c r="B102" s="31"/>
      <c r="C102" s="22">
        <v>45185</v>
      </c>
      <c r="D102" s="32" t="s">
        <v>441</v>
      </c>
      <c r="E102" s="12">
        <v>378000</v>
      </c>
      <c r="F102" s="12">
        <v>182229</v>
      </c>
      <c r="G102" s="12">
        <f>ROUND(E102-F102,)</f>
        <v>195771</v>
      </c>
      <c r="H102" s="12">
        <f>ROUND(G102*$H$5,0)</f>
        <v>35239</v>
      </c>
      <c r="I102" s="12">
        <f>G102+H102</f>
        <v>231010</v>
      </c>
      <c r="J102" s="12">
        <f>ROUND(G102*$J$5,)</f>
        <v>1958</v>
      </c>
      <c r="K102" s="12">
        <f>ROUND(G102*$K$5,)</f>
        <v>9789</v>
      </c>
      <c r="L102" s="12">
        <f>ROUND(G102*$L$5,)</f>
        <v>0</v>
      </c>
      <c r="M102" s="12">
        <f>ROUND(G102*$M$5,)</f>
        <v>19577</v>
      </c>
      <c r="N102" s="96">
        <f>H102</f>
        <v>35239</v>
      </c>
      <c r="O102" s="12"/>
      <c r="P102" s="12">
        <f>ROUND(I102-SUM(J102:N102),0)</f>
        <v>164447</v>
      </c>
      <c r="Q102" s="127" t="s">
        <v>442</v>
      </c>
      <c r="R102" s="12" t="s">
        <v>253</v>
      </c>
      <c r="S102" s="12">
        <v>150000</v>
      </c>
      <c r="T102" s="26">
        <f t="shared" ref="T102" si="16">S102-1%*S102</f>
        <v>148500</v>
      </c>
      <c r="U102" s="35" t="s">
        <v>252</v>
      </c>
      <c r="V102" s="14"/>
    </row>
    <row r="103" spans="1:77" ht="30" customHeight="1" x14ac:dyDescent="0.25">
      <c r="A103" s="17"/>
      <c r="B103" s="31" t="s">
        <v>114</v>
      </c>
      <c r="C103" s="22"/>
      <c r="D103" s="32">
        <f>D97</f>
        <v>29</v>
      </c>
      <c r="E103" s="12">
        <f>N97</f>
        <v>107157</v>
      </c>
      <c r="F103" s="12"/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/>
      <c r="P103" s="12">
        <f>E103</f>
        <v>107157</v>
      </c>
      <c r="Q103" s="59"/>
      <c r="R103" s="12"/>
      <c r="S103" s="12"/>
      <c r="T103" s="26"/>
      <c r="U103" s="35"/>
      <c r="V103" s="14"/>
    </row>
    <row r="104" spans="1:77" ht="30" customHeight="1" x14ac:dyDescent="0.25">
      <c r="A104" s="17"/>
      <c r="B104" s="31" t="s">
        <v>114</v>
      </c>
      <c r="C104" s="22"/>
      <c r="D104" s="32" t="str">
        <f t="shared" ref="D104" si="17">D98</f>
        <v>28/23</v>
      </c>
      <c r="E104" s="12">
        <f t="shared" ref="E104" si="18">N98</f>
        <v>17469</v>
      </c>
      <c r="F104" s="12"/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/>
      <c r="P104" s="12">
        <f t="shared" ref="P104" si="19">E104</f>
        <v>17469</v>
      </c>
      <c r="Q104" s="59"/>
      <c r="R104" s="12"/>
      <c r="S104" s="12"/>
      <c r="T104" s="26"/>
      <c r="U104" s="35"/>
      <c r="V104" s="14"/>
    </row>
    <row r="105" spans="1:77" ht="30" customHeight="1" x14ac:dyDescent="0.25">
      <c r="A105" s="17"/>
      <c r="B105" s="31"/>
      <c r="C105" s="22"/>
      <c r="D105" s="3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59"/>
      <c r="R105" s="12"/>
      <c r="S105" s="12"/>
      <c r="T105" s="26"/>
      <c r="U105" s="35"/>
      <c r="V105" s="14"/>
    </row>
    <row r="106" spans="1:77" ht="30" customHeight="1" x14ac:dyDescent="0.25">
      <c r="A106" s="17"/>
      <c r="B106" s="31"/>
      <c r="C106" s="22"/>
      <c r="D106" s="3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59"/>
      <c r="R106" s="12"/>
      <c r="S106" s="12"/>
      <c r="T106" s="26"/>
      <c r="U106" s="35"/>
      <c r="V106" s="14"/>
    </row>
    <row r="107" spans="1:77" ht="30" customHeight="1" x14ac:dyDescent="0.25">
      <c r="A107" s="17"/>
      <c r="B107" s="31"/>
      <c r="C107" s="22"/>
      <c r="D107" s="3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59"/>
      <c r="R107" s="12"/>
      <c r="S107" s="12"/>
      <c r="T107" s="26"/>
      <c r="U107" s="35"/>
      <c r="V107" s="14"/>
    </row>
    <row r="108" spans="1:77" ht="30" customHeight="1" x14ac:dyDescent="0.25">
      <c r="A108" s="17"/>
      <c r="B108" s="31"/>
      <c r="C108" s="22"/>
      <c r="D108" s="3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59"/>
      <c r="R108" s="12"/>
      <c r="S108" s="12"/>
      <c r="T108" s="26"/>
      <c r="U108" s="35"/>
      <c r="V108" s="38">
        <f>SUM(P97:P108)-SUM(T97:T108)</f>
        <v>14637</v>
      </c>
    </row>
    <row r="109" spans="1:77" s="29" customFormat="1" ht="30" customHeight="1" x14ac:dyDescent="0.25">
      <c r="A109" s="24">
        <v>55767</v>
      </c>
      <c r="B109" s="33" t="s">
        <v>326</v>
      </c>
      <c r="C109" s="20"/>
      <c r="D109" s="34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73">
        <f>A109</f>
        <v>55767</v>
      </c>
      <c r="R109" s="15"/>
      <c r="S109" s="40"/>
      <c r="T109" s="113"/>
      <c r="U109" s="15"/>
      <c r="V109" s="15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</row>
    <row r="110" spans="1:77" ht="30" customHeight="1" x14ac:dyDescent="0.25">
      <c r="A110" s="17">
        <v>2598750</v>
      </c>
      <c r="B110" s="31" t="s">
        <v>343</v>
      </c>
      <c r="C110" s="22">
        <v>44987</v>
      </c>
      <c r="D110" s="32">
        <v>18</v>
      </c>
      <c r="E110" s="12">
        <f>2361882*25%</f>
        <v>590470.5</v>
      </c>
      <c r="F110" s="12">
        <v>320582.3</v>
      </c>
      <c r="G110" s="12">
        <f>ROUND(E110-F110,)</f>
        <v>269888</v>
      </c>
      <c r="H110" s="12">
        <f>ROUND(G110*$H$5,0)</f>
        <v>48580</v>
      </c>
      <c r="I110" s="12">
        <f>G110+H110</f>
        <v>318468</v>
      </c>
      <c r="J110" s="12">
        <f>ROUND(G110*$J$5,)</f>
        <v>2699</v>
      </c>
      <c r="K110" s="12">
        <f>ROUND(G110*$K$5,)</f>
        <v>13494</v>
      </c>
      <c r="L110" s="12">
        <f>ROUND(G110*$L$5,)</f>
        <v>0</v>
      </c>
      <c r="M110" s="12">
        <f>ROUND(G110*$M$5,)</f>
        <v>26989</v>
      </c>
      <c r="N110" s="12">
        <f>H110</f>
        <v>48580</v>
      </c>
      <c r="O110" s="12"/>
      <c r="P110" s="12">
        <f>ROUND(I110-SUM(J110:N110),0)</f>
        <v>226706</v>
      </c>
      <c r="Q110" s="59"/>
      <c r="R110" s="12" t="s">
        <v>54</v>
      </c>
      <c r="S110" s="12">
        <v>226706</v>
      </c>
      <c r="T110" s="26">
        <v>226706</v>
      </c>
      <c r="U110" s="14" t="s">
        <v>53</v>
      </c>
      <c r="V110" s="14"/>
    </row>
    <row r="111" spans="1:77" ht="30" customHeight="1" x14ac:dyDescent="0.25">
      <c r="A111" s="17"/>
      <c r="B111" s="31"/>
      <c r="C111" s="22">
        <v>45134</v>
      </c>
      <c r="D111" s="107">
        <v>35189</v>
      </c>
      <c r="E111" s="12">
        <v>354282.3</v>
      </c>
      <c r="F111" s="12">
        <v>154256.14000000001</v>
      </c>
      <c r="G111" s="12">
        <v>200026</v>
      </c>
      <c r="H111" s="12">
        <v>36005</v>
      </c>
      <c r="I111" s="12">
        <v>236031</v>
      </c>
      <c r="J111" s="12">
        <v>2000</v>
      </c>
      <c r="K111" s="12">
        <v>10001</v>
      </c>
      <c r="L111" s="12">
        <v>0</v>
      </c>
      <c r="M111" s="12">
        <v>20003</v>
      </c>
      <c r="N111" s="96">
        <v>36005</v>
      </c>
      <c r="O111" s="12"/>
      <c r="P111" s="12">
        <v>168022</v>
      </c>
      <c r="Q111" s="59"/>
      <c r="R111" s="12" t="s">
        <v>85</v>
      </c>
      <c r="S111" s="12">
        <v>100000</v>
      </c>
      <c r="T111" s="26">
        <f t="shared" ref="T111:T115" si="20">S111-1%*S111</f>
        <v>99000</v>
      </c>
      <c r="U111" s="14" t="s">
        <v>86</v>
      </c>
      <c r="V111" s="14"/>
    </row>
    <row r="112" spans="1:77" ht="30" customHeight="1" x14ac:dyDescent="0.25">
      <c r="A112" s="17" t="s">
        <v>112</v>
      </c>
      <c r="B112" s="31"/>
      <c r="C112" s="22">
        <v>45139</v>
      </c>
      <c r="D112" s="95">
        <v>46195</v>
      </c>
      <c r="E112" s="12">
        <v>94747.199999999953</v>
      </c>
      <c r="F112" s="12">
        <v>0</v>
      </c>
      <c r="G112" s="12">
        <v>94747</v>
      </c>
      <c r="H112" s="12">
        <v>17054</v>
      </c>
      <c r="I112" s="12">
        <v>111801</v>
      </c>
      <c r="J112" s="12">
        <v>947</v>
      </c>
      <c r="K112" s="12">
        <v>4737</v>
      </c>
      <c r="L112" s="12">
        <v>0</v>
      </c>
      <c r="M112" s="12">
        <v>9475</v>
      </c>
      <c r="N112" s="96">
        <v>17054</v>
      </c>
      <c r="O112" s="12"/>
      <c r="P112" s="12">
        <v>79588</v>
      </c>
      <c r="Q112" s="104" t="s">
        <v>418</v>
      </c>
      <c r="R112" s="12" t="s">
        <v>146</v>
      </c>
      <c r="S112" s="12">
        <v>100000</v>
      </c>
      <c r="T112" s="26">
        <f t="shared" si="20"/>
        <v>99000</v>
      </c>
      <c r="U112" s="35" t="s">
        <v>107</v>
      </c>
      <c r="V112" s="14"/>
    </row>
    <row r="113" spans="1:22" ht="30" customHeight="1" x14ac:dyDescent="0.25">
      <c r="A113" s="17"/>
      <c r="B113" s="31" t="s">
        <v>114</v>
      </c>
      <c r="C113" s="36"/>
      <c r="D113" s="32">
        <f>D110</f>
        <v>18</v>
      </c>
      <c r="E113" s="12">
        <f>N110</f>
        <v>48580</v>
      </c>
      <c r="F113" s="12"/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0</v>
      </c>
      <c r="N113" s="12">
        <v>0</v>
      </c>
      <c r="O113" s="12"/>
      <c r="P113" s="12">
        <f>E113</f>
        <v>48580</v>
      </c>
      <c r="Q113" s="59"/>
      <c r="R113" s="12" t="s">
        <v>147</v>
      </c>
      <c r="S113" s="12">
        <v>200000</v>
      </c>
      <c r="T113" s="26">
        <f t="shared" si="20"/>
        <v>198000</v>
      </c>
      <c r="U113" s="35" t="s">
        <v>144</v>
      </c>
      <c r="V113" s="14"/>
    </row>
    <row r="114" spans="1:22" ht="30" customHeight="1" x14ac:dyDescent="0.25">
      <c r="A114" s="17"/>
      <c r="B114" s="31"/>
      <c r="C114" s="36"/>
      <c r="D114" s="3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59"/>
      <c r="R114" s="12" t="s">
        <v>148</v>
      </c>
      <c r="S114" s="12">
        <v>200000</v>
      </c>
      <c r="T114" s="26">
        <f t="shared" si="20"/>
        <v>198000</v>
      </c>
      <c r="U114" s="35" t="s">
        <v>145</v>
      </c>
      <c r="V114" s="14"/>
    </row>
    <row r="115" spans="1:22" ht="30" customHeight="1" x14ac:dyDescent="0.25">
      <c r="A115" s="17"/>
      <c r="B115" s="31"/>
      <c r="C115" s="36"/>
      <c r="D115" s="3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59"/>
      <c r="R115" s="12" t="s">
        <v>164</v>
      </c>
      <c r="S115" s="12">
        <v>300000</v>
      </c>
      <c r="T115" s="26">
        <f t="shared" si="20"/>
        <v>297000</v>
      </c>
      <c r="U115" s="35" t="s">
        <v>163</v>
      </c>
      <c r="V115" s="38">
        <f>SUM(P110:P115)-SUM(T110:T115)</f>
        <v>-594810</v>
      </c>
    </row>
    <row r="116" spans="1:22" ht="30" customHeight="1" x14ac:dyDescent="0.25">
      <c r="A116" s="24">
        <v>55846</v>
      </c>
      <c r="B116" s="33"/>
      <c r="C116" s="20"/>
      <c r="D116" s="34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73">
        <f>A116</f>
        <v>55846</v>
      </c>
      <c r="R116" s="16"/>
      <c r="S116" s="16"/>
      <c r="T116" s="113"/>
      <c r="U116" s="15"/>
      <c r="V116" s="14"/>
    </row>
    <row r="117" spans="1:22" ht="30" customHeight="1" x14ac:dyDescent="0.25">
      <c r="A117" s="17">
        <v>2250000</v>
      </c>
      <c r="B117" s="31" t="s">
        <v>344</v>
      </c>
      <c r="C117" s="22">
        <v>44987</v>
      </c>
      <c r="D117" s="32" t="s">
        <v>115</v>
      </c>
      <c r="E117" s="12">
        <f>2084196*15%</f>
        <v>312629.39999999997</v>
      </c>
      <c r="F117" s="12">
        <v>206691</v>
      </c>
      <c r="G117" s="12">
        <f>ROUND(E117-F117,)</f>
        <v>105938</v>
      </c>
      <c r="H117" s="12">
        <f>ROUND(G117*$H$5,0)</f>
        <v>19069</v>
      </c>
      <c r="I117" s="12">
        <f>G117+H117</f>
        <v>125007</v>
      </c>
      <c r="J117" s="12">
        <f>ROUND(G117*$J$5,)</f>
        <v>1059</v>
      </c>
      <c r="K117" s="12">
        <f>ROUND(G117*$K$5,)</f>
        <v>5297</v>
      </c>
      <c r="L117" s="12">
        <f>ROUND(G117*$L$5,)</f>
        <v>0</v>
      </c>
      <c r="M117" s="12">
        <f>ROUND(G117*$M$5,)</f>
        <v>10594</v>
      </c>
      <c r="N117" s="12">
        <f>H117</f>
        <v>19069</v>
      </c>
      <c r="O117" s="12"/>
      <c r="P117" s="12">
        <f>ROUND(I117-SUM(J117:N117),0)</f>
        <v>88988</v>
      </c>
      <c r="Q117" s="59"/>
      <c r="R117" s="12" t="s">
        <v>87</v>
      </c>
      <c r="S117" s="12">
        <v>88988</v>
      </c>
      <c r="T117" s="26">
        <v>88988</v>
      </c>
      <c r="U117" s="14" t="s">
        <v>88</v>
      </c>
      <c r="V117" s="14"/>
    </row>
    <row r="118" spans="1:22" ht="30" customHeight="1" x14ac:dyDescent="0.25">
      <c r="A118" s="17"/>
      <c r="B118" s="31"/>
      <c r="C118" s="22">
        <v>45050</v>
      </c>
      <c r="D118" s="32">
        <v>12</v>
      </c>
      <c r="E118" s="12">
        <f>2084196*15%</f>
        <v>312629.39999999997</v>
      </c>
      <c r="F118" s="12">
        <v>249885</v>
      </c>
      <c r="G118" s="12">
        <f>ROUND(E118-F118,)</f>
        <v>62744</v>
      </c>
      <c r="H118" s="12">
        <f>ROUND(G118*$H$5,0)</f>
        <v>11294</v>
      </c>
      <c r="I118" s="12">
        <f>G118+H118</f>
        <v>74038</v>
      </c>
      <c r="J118" s="12">
        <f>ROUND(G118*$J$5,)</f>
        <v>627</v>
      </c>
      <c r="K118" s="12">
        <f>ROUND(G118*$K$5,)</f>
        <v>3137</v>
      </c>
      <c r="L118" s="12">
        <f>ROUND(G118*$L$5,)</f>
        <v>0</v>
      </c>
      <c r="M118" s="12">
        <f>ROUND(G118*$M$5,)</f>
        <v>6274</v>
      </c>
      <c r="N118" s="96">
        <f>H118</f>
        <v>11294</v>
      </c>
      <c r="O118" s="12"/>
      <c r="P118" s="12">
        <f>ROUND(I118-SUM(J118:N118),0)</f>
        <v>52706</v>
      </c>
      <c r="Q118" s="59"/>
      <c r="R118" s="18" t="s">
        <v>89</v>
      </c>
      <c r="S118" s="18">
        <v>52706</v>
      </c>
      <c r="T118" s="26">
        <v>52706</v>
      </c>
      <c r="U118" s="27" t="s">
        <v>90</v>
      </c>
      <c r="V118" s="14"/>
    </row>
    <row r="119" spans="1:22" ht="30" customHeight="1" x14ac:dyDescent="0.25">
      <c r="A119" s="17"/>
      <c r="B119" s="31"/>
      <c r="C119" s="22">
        <v>45117</v>
      </c>
      <c r="D119" s="32">
        <v>26</v>
      </c>
      <c r="E119" s="12">
        <f>2084196*15%</f>
        <v>312629.39999999997</v>
      </c>
      <c r="F119" s="12">
        <v>134399</v>
      </c>
      <c r="G119" s="12">
        <f>ROUND(E119-F119,)</f>
        <v>178230</v>
      </c>
      <c r="H119" s="12">
        <f>ROUND(G119*$H$5,0)</f>
        <v>32081</v>
      </c>
      <c r="I119" s="12">
        <f>G119+H119</f>
        <v>210311</v>
      </c>
      <c r="J119" s="12">
        <f>ROUND(G119*$J$5,)</f>
        <v>1782</v>
      </c>
      <c r="K119" s="12">
        <f>ROUND(G119*$K$5,)</f>
        <v>8912</v>
      </c>
      <c r="L119" s="12">
        <f>ROUND(G119*$L$5,)</f>
        <v>0</v>
      </c>
      <c r="M119" s="12">
        <f>ROUND(G119*$M$5,)</f>
        <v>17823</v>
      </c>
      <c r="N119" s="12">
        <f>H119</f>
        <v>32081</v>
      </c>
      <c r="O119" s="12"/>
      <c r="P119" s="12">
        <f>ROUND(I119-SUM(J119:N119),0)</f>
        <v>149713</v>
      </c>
      <c r="Q119" s="132"/>
      <c r="R119" s="18" t="s">
        <v>97</v>
      </c>
      <c r="S119" s="18">
        <v>200000</v>
      </c>
      <c r="T119" s="26">
        <f t="shared" ref="T119:T121" si="21">S119-1%*S119</f>
        <v>198000</v>
      </c>
      <c r="U119" s="27" t="s">
        <v>98</v>
      </c>
      <c r="V119" s="14"/>
    </row>
    <row r="120" spans="1:22" ht="30" customHeight="1" x14ac:dyDescent="0.25">
      <c r="A120" s="17" t="s">
        <v>112</v>
      </c>
      <c r="B120" s="31"/>
      <c r="C120" s="36">
        <v>45134</v>
      </c>
      <c r="D120" s="32" t="s">
        <v>402</v>
      </c>
      <c r="E120" s="12">
        <v>208419.6</v>
      </c>
      <c r="F120" s="12">
        <v>75611</v>
      </c>
      <c r="G120" s="12">
        <f>ROUND(E120-F120,)</f>
        <v>132809</v>
      </c>
      <c r="H120" s="12">
        <f>ROUND(G120*$H$5,0)</f>
        <v>23906</v>
      </c>
      <c r="I120" s="12">
        <f>G120+H120</f>
        <v>156715</v>
      </c>
      <c r="J120" s="12">
        <f>ROUND(G120*$J$5,)</f>
        <v>1328</v>
      </c>
      <c r="K120" s="12">
        <f>ROUND(G120*$K$5,)</f>
        <v>6640</v>
      </c>
      <c r="L120" s="12">
        <f>ROUND(G120*$L$5,)</f>
        <v>0</v>
      </c>
      <c r="M120" s="12">
        <f>ROUND(G120*$M$5,)</f>
        <v>13281</v>
      </c>
      <c r="N120" s="96">
        <f>H120</f>
        <v>23906</v>
      </c>
      <c r="O120" s="12"/>
      <c r="P120" s="12">
        <f>ROUND(I120-SUM(J120:N120),0)</f>
        <v>111560</v>
      </c>
      <c r="Q120" s="132"/>
      <c r="R120" s="18" t="s">
        <v>151</v>
      </c>
      <c r="S120" s="18">
        <v>300000</v>
      </c>
      <c r="T120" s="26">
        <f t="shared" si="21"/>
        <v>297000</v>
      </c>
      <c r="U120" s="27" t="s">
        <v>149</v>
      </c>
      <c r="V120" s="14"/>
    </row>
    <row r="121" spans="1:22" ht="30" customHeight="1" x14ac:dyDescent="0.25">
      <c r="A121" s="17"/>
      <c r="B121" s="31"/>
      <c r="C121" s="36">
        <v>45139</v>
      </c>
      <c r="D121" s="32" t="s">
        <v>401</v>
      </c>
      <c r="E121" s="12">
        <v>91192</v>
      </c>
      <c r="F121" s="12">
        <v>0</v>
      </c>
      <c r="G121" s="12">
        <f>ROUND(E121-F121,)</f>
        <v>91192</v>
      </c>
      <c r="H121" s="12">
        <f>ROUND(G121*$H$5,0)</f>
        <v>16415</v>
      </c>
      <c r="I121" s="12">
        <f>G121+H121</f>
        <v>107607</v>
      </c>
      <c r="J121" s="12">
        <f>ROUND(G121*$J$5,)</f>
        <v>912</v>
      </c>
      <c r="K121" s="12">
        <f>ROUND(G121*$K$5,)</f>
        <v>4560</v>
      </c>
      <c r="L121" s="12">
        <f>ROUND(G121*$L$5,)</f>
        <v>0</v>
      </c>
      <c r="M121" s="12">
        <f>ROUND(G121*$M$5,)</f>
        <v>9119</v>
      </c>
      <c r="N121" s="12">
        <f>H121</f>
        <v>16415</v>
      </c>
      <c r="O121" s="12"/>
      <c r="P121" s="12">
        <f>ROUND(I121-SUM(J121:N121),0)</f>
        <v>76601</v>
      </c>
      <c r="Q121" s="126" t="s">
        <v>418</v>
      </c>
      <c r="R121" s="18" t="s">
        <v>152</v>
      </c>
      <c r="S121" s="18">
        <v>300000</v>
      </c>
      <c r="T121" s="26">
        <f t="shared" si="21"/>
        <v>297000</v>
      </c>
      <c r="U121" s="51" t="s">
        <v>150</v>
      </c>
      <c r="V121" s="14"/>
    </row>
    <row r="122" spans="1:22" ht="30" customHeight="1" x14ac:dyDescent="0.25">
      <c r="A122" s="17"/>
      <c r="B122" s="31" t="s">
        <v>114</v>
      </c>
      <c r="C122" s="36"/>
      <c r="D122" s="32" t="str">
        <f>D117</f>
        <v>15(A)</v>
      </c>
      <c r="E122" s="12">
        <f>N117</f>
        <v>19069</v>
      </c>
      <c r="F122" s="12"/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/>
      <c r="P122" s="12">
        <f>E122</f>
        <v>19069</v>
      </c>
      <c r="Q122" s="132"/>
      <c r="R122" s="18" t="s">
        <v>164</v>
      </c>
      <c r="S122" s="18">
        <v>300000</v>
      </c>
      <c r="T122" s="26">
        <v>297000</v>
      </c>
      <c r="U122" s="27" t="s">
        <v>163</v>
      </c>
      <c r="V122" s="14"/>
    </row>
    <row r="123" spans="1:22" ht="30" customHeight="1" x14ac:dyDescent="0.25">
      <c r="A123" s="17"/>
      <c r="B123" s="31" t="s">
        <v>114</v>
      </c>
      <c r="C123" s="36"/>
      <c r="D123" s="32">
        <v>26</v>
      </c>
      <c r="E123" s="12">
        <f>N119</f>
        <v>32081</v>
      </c>
      <c r="F123" s="12"/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/>
      <c r="P123" s="12">
        <f t="shared" ref="P123" si="22">E123</f>
        <v>32081</v>
      </c>
      <c r="Q123" s="132"/>
      <c r="R123" s="18"/>
      <c r="S123" s="18"/>
      <c r="T123" s="26"/>
      <c r="U123" s="27"/>
      <c r="V123" s="14"/>
    </row>
    <row r="124" spans="1:22" ht="30" customHeight="1" x14ac:dyDescent="0.25">
      <c r="A124" s="17"/>
      <c r="B124" s="31"/>
      <c r="C124" s="36"/>
      <c r="D124" s="3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32"/>
      <c r="R124" s="18"/>
      <c r="S124" s="18"/>
      <c r="T124" s="26"/>
      <c r="U124" s="27"/>
      <c r="V124" s="14"/>
    </row>
    <row r="125" spans="1:22" ht="30" customHeight="1" x14ac:dyDescent="0.25">
      <c r="A125" s="17"/>
      <c r="B125" s="31"/>
      <c r="C125" s="36"/>
      <c r="D125" s="3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32"/>
      <c r="R125" s="18"/>
      <c r="S125" s="18"/>
      <c r="T125" s="26"/>
      <c r="U125" s="27"/>
      <c r="V125" s="14"/>
    </row>
    <row r="126" spans="1:22" ht="30" customHeight="1" x14ac:dyDescent="0.25">
      <c r="A126" s="17"/>
      <c r="B126" s="31"/>
      <c r="C126" s="36"/>
      <c r="D126" s="3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32"/>
      <c r="R126" s="18"/>
      <c r="S126" s="18"/>
      <c r="T126" s="26"/>
      <c r="U126" s="27"/>
      <c r="V126" s="38">
        <f>SUM(P117:P126)-SUM(T117:T126)</f>
        <v>-699976</v>
      </c>
    </row>
    <row r="127" spans="1:22" ht="30" customHeight="1" x14ac:dyDescent="0.25">
      <c r="A127" s="24">
        <v>55852</v>
      </c>
      <c r="B127" s="33"/>
      <c r="C127" s="20"/>
      <c r="D127" s="34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73">
        <f>A127</f>
        <v>55852</v>
      </c>
      <c r="R127" s="15"/>
      <c r="S127" s="40"/>
      <c r="T127" s="113"/>
      <c r="U127" s="15"/>
      <c r="V127" s="15"/>
    </row>
    <row r="128" spans="1:22" ht="30" customHeight="1" x14ac:dyDescent="0.25">
      <c r="A128" s="17">
        <v>2850000</v>
      </c>
      <c r="B128" s="31" t="s">
        <v>336</v>
      </c>
      <c r="C128" s="22">
        <v>44987</v>
      </c>
      <c r="D128" s="32">
        <v>17</v>
      </c>
      <c r="E128" s="12">
        <f>2579480*25%</f>
        <v>644870</v>
      </c>
      <c r="F128" s="12">
        <v>312982.89</v>
      </c>
      <c r="G128" s="12">
        <f>ROUND(E128-F128,)</f>
        <v>331887</v>
      </c>
      <c r="H128" s="12">
        <f>ROUND(G128*$H$5,0)</f>
        <v>59740</v>
      </c>
      <c r="I128" s="12">
        <f>G128+H128</f>
        <v>391627</v>
      </c>
      <c r="J128" s="12">
        <f>ROUND(G128*$J$5,)</f>
        <v>3319</v>
      </c>
      <c r="K128" s="12">
        <f>ROUND(G128*$K$5,)</f>
        <v>16594</v>
      </c>
      <c r="L128" s="12">
        <f>ROUND(G128*$L$5,)</f>
        <v>0</v>
      </c>
      <c r="M128" s="12">
        <f>ROUND(G128*$M$5,)</f>
        <v>33189</v>
      </c>
      <c r="N128" s="12">
        <f>H128</f>
        <v>59740</v>
      </c>
      <c r="O128" s="12"/>
      <c r="P128" s="12">
        <f>ROUND(I128-SUM(J128:N128),0)</f>
        <v>278785</v>
      </c>
      <c r="Q128" s="128"/>
      <c r="R128" s="14" t="s">
        <v>122</v>
      </c>
      <c r="S128" s="37">
        <v>200000</v>
      </c>
      <c r="T128" s="26">
        <f t="shared" ref="T128:T130" si="23">S128-1%*S128</f>
        <v>198000</v>
      </c>
      <c r="U128" s="14" t="s">
        <v>121</v>
      </c>
      <c r="V128" s="14"/>
    </row>
    <row r="129" spans="1:77" ht="30" customHeight="1" x14ac:dyDescent="0.25">
      <c r="A129" s="17" t="s">
        <v>112</v>
      </c>
      <c r="B129" s="31"/>
      <c r="C129" s="22">
        <v>45139</v>
      </c>
      <c r="D129" s="32" t="s">
        <v>403</v>
      </c>
      <c r="E129" s="12">
        <v>67630</v>
      </c>
      <c r="F129" s="12">
        <v>0</v>
      </c>
      <c r="G129" s="12">
        <v>67630</v>
      </c>
      <c r="H129" s="12">
        <v>12173</v>
      </c>
      <c r="I129" s="12">
        <v>79803</v>
      </c>
      <c r="J129" s="12">
        <v>676</v>
      </c>
      <c r="K129" s="12">
        <v>3382</v>
      </c>
      <c r="L129" s="12">
        <v>0</v>
      </c>
      <c r="M129" s="12">
        <v>6763</v>
      </c>
      <c r="N129" s="96">
        <v>12173</v>
      </c>
      <c r="O129" s="12"/>
      <c r="P129" s="12">
        <v>56809</v>
      </c>
      <c r="Q129" s="126" t="s">
        <v>418</v>
      </c>
      <c r="R129" s="14" t="s">
        <v>199</v>
      </c>
      <c r="S129" s="37">
        <v>300000</v>
      </c>
      <c r="T129" s="26">
        <f t="shared" si="23"/>
        <v>297000</v>
      </c>
      <c r="U129" s="14" t="s">
        <v>198</v>
      </c>
      <c r="V129" s="14"/>
    </row>
    <row r="130" spans="1:77" ht="30" customHeight="1" x14ac:dyDescent="0.25">
      <c r="A130" s="17"/>
      <c r="B130" s="31" t="s">
        <v>114</v>
      </c>
      <c r="C130" s="22"/>
      <c r="D130" s="32">
        <v>17</v>
      </c>
      <c r="E130" s="12">
        <v>59740</v>
      </c>
      <c r="F130" s="12"/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96">
        <v>0</v>
      </c>
      <c r="O130" s="12"/>
      <c r="P130" s="12">
        <f>E130</f>
        <v>59740</v>
      </c>
      <c r="Q130" s="128"/>
      <c r="R130" s="14" t="s">
        <v>205</v>
      </c>
      <c r="S130" s="37">
        <v>250000</v>
      </c>
      <c r="T130" s="26">
        <f t="shared" si="23"/>
        <v>247500</v>
      </c>
      <c r="U130" s="14" t="s">
        <v>204</v>
      </c>
      <c r="V130" s="14"/>
    </row>
    <row r="131" spans="1:77" ht="30" customHeight="1" x14ac:dyDescent="0.25">
      <c r="A131" s="17"/>
      <c r="B131" s="31"/>
      <c r="C131" s="22">
        <v>45185</v>
      </c>
      <c r="D131" s="32" t="s">
        <v>445</v>
      </c>
      <c r="E131" s="12">
        <v>427500</v>
      </c>
      <c r="F131" s="12">
        <v>165673</v>
      </c>
      <c r="G131" s="12">
        <f>E131-F131</f>
        <v>261827</v>
      </c>
      <c r="H131" s="12">
        <f>ROUND(G131*18%,)</f>
        <v>47129</v>
      </c>
      <c r="I131" s="12">
        <f>G131+H131</f>
        <v>308956</v>
      </c>
      <c r="J131" s="12">
        <f>ROUND(G131*1%,)</f>
        <v>2618</v>
      </c>
      <c r="K131" s="12">
        <f>ROUND(G131*5%,)</f>
        <v>13091</v>
      </c>
      <c r="L131" s="14"/>
      <c r="M131" s="12">
        <f>G131*10%</f>
        <v>26182.7</v>
      </c>
      <c r="N131" s="96">
        <f>H131</f>
        <v>47129</v>
      </c>
      <c r="O131" s="12">
        <v>0</v>
      </c>
      <c r="P131" s="12">
        <f>G131-J131-K131-O131-M131</f>
        <v>219935.3</v>
      </c>
      <c r="Q131" s="127" t="s">
        <v>442</v>
      </c>
      <c r="R131" s="14"/>
      <c r="S131" s="37"/>
      <c r="T131" s="61"/>
      <c r="U131" s="14"/>
      <c r="V131" s="14"/>
    </row>
    <row r="132" spans="1:77" ht="30" customHeight="1" x14ac:dyDescent="0.25">
      <c r="A132" s="17"/>
      <c r="B132" s="31"/>
      <c r="C132" s="22">
        <v>45194</v>
      </c>
      <c r="D132" s="95">
        <v>96237</v>
      </c>
      <c r="E132" s="12">
        <f>2850000*15%</f>
        <v>427500</v>
      </c>
      <c r="F132" s="12">
        <v>176498.78</v>
      </c>
      <c r="G132" s="12">
        <f>ROUND(E132-F132,)</f>
        <v>251001</v>
      </c>
      <c r="H132" s="12">
        <f>ROUND(G132*$H$5,0)</f>
        <v>45180</v>
      </c>
      <c r="I132" s="12">
        <f>G132+H132</f>
        <v>296181</v>
      </c>
      <c r="J132" s="12">
        <f>ROUND(G132*$J$5,)</f>
        <v>2510</v>
      </c>
      <c r="K132" s="12">
        <f>ROUND(G132*$K$5,)</f>
        <v>12550</v>
      </c>
      <c r="L132" s="12">
        <f>ROUND(G132*$L$5,)</f>
        <v>0</v>
      </c>
      <c r="M132" s="12">
        <f>ROUND(G132*$M$5,)</f>
        <v>25100</v>
      </c>
      <c r="N132" s="96">
        <f>H132</f>
        <v>45180</v>
      </c>
      <c r="O132" s="14"/>
      <c r="P132" s="12">
        <f>ROUND(I132-SUM(J132:N132),0)</f>
        <v>210841</v>
      </c>
      <c r="Q132" s="127" t="s">
        <v>442</v>
      </c>
      <c r="R132" s="14"/>
      <c r="S132" s="37"/>
      <c r="T132" s="61"/>
      <c r="U132" s="14"/>
      <c r="V132" s="14"/>
    </row>
    <row r="133" spans="1:77" ht="30" customHeight="1" x14ac:dyDescent="0.25">
      <c r="A133" s="17"/>
      <c r="B133" s="31"/>
      <c r="C133" s="22">
        <v>45255</v>
      </c>
      <c r="D133" s="32">
        <v>136</v>
      </c>
      <c r="E133" s="12">
        <v>285000</v>
      </c>
      <c r="F133" s="12">
        <v>156384</v>
      </c>
      <c r="G133" s="12">
        <f>ROUND(E133-F133,)</f>
        <v>128616</v>
      </c>
      <c r="H133" s="12">
        <f>ROUND(G133*$H$5,0)</f>
        <v>23151</v>
      </c>
      <c r="I133" s="12">
        <f>G133+H133</f>
        <v>151767</v>
      </c>
      <c r="J133" s="12">
        <f>ROUND(G133*$J$5,)</f>
        <v>1286</v>
      </c>
      <c r="K133" s="12">
        <f>ROUND(G133*$K$5,)</f>
        <v>6431</v>
      </c>
      <c r="L133" s="12">
        <f>ROUND(G133*$L$5,)</f>
        <v>0</v>
      </c>
      <c r="M133" s="12">
        <f>ROUND(G133*$M$5,)</f>
        <v>12862</v>
      </c>
      <c r="N133" s="96">
        <f>H133</f>
        <v>23151</v>
      </c>
      <c r="O133" s="14"/>
      <c r="P133" s="12">
        <f>ROUND(I133-SUM(J133:N133),0)</f>
        <v>108037</v>
      </c>
      <c r="Q133" s="128"/>
      <c r="R133" s="14"/>
      <c r="S133" s="37"/>
      <c r="T133" s="61"/>
      <c r="U133" s="14"/>
      <c r="V133" s="14"/>
    </row>
    <row r="134" spans="1:77" ht="30" customHeight="1" x14ac:dyDescent="0.25">
      <c r="A134" s="17"/>
      <c r="B134" s="31"/>
      <c r="C134" s="22"/>
      <c r="D134" s="3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4"/>
      <c r="P134" s="12"/>
      <c r="Q134" s="128"/>
      <c r="R134" s="14"/>
      <c r="S134" s="37"/>
      <c r="T134" s="61"/>
      <c r="U134" s="14"/>
      <c r="V134" s="14"/>
    </row>
    <row r="135" spans="1:77" ht="30" customHeight="1" x14ac:dyDescent="0.25">
      <c r="A135" s="17"/>
      <c r="B135" s="31"/>
      <c r="C135" s="22"/>
      <c r="D135" s="3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4"/>
      <c r="P135" s="12"/>
      <c r="Q135" s="128"/>
      <c r="R135" s="14"/>
      <c r="S135" s="37"/>
      <c r="T135" s="61"/>
      <c r="U135" s="14"/>
      <c r="V135" s="14"/>
    </row>
    <row r="136" spans="1:77" ht="30" customHeight="1" x14ac:dyDescent="0.25">
      <c r="A136" s="17"/>
      <c r="B136" s="31"/>
      <c r="C136" s="22"/>
      <c r="D136" s="3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4"/>
      <c r="P136" s="12"/>
      <c r="Q136" s="128"/>
      <c r="R136" s="14"/>
      <c r="S136" s="37"/>
      <c r="T136" s="61"/>
      <c r="U136" s="14"/>
      <c r="V136" s="14"/>
    </row>
    <row r="137" spans="1:77" ht="30" customHeight="1" x14ac:dyDescent="0.25">
      <c r="A137" s="17"/>
      <c r="B137" s="31"/>
      <c r="C137" s="22"/>
      <c r="D137" s="3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4"/>
      <c r="P137" s="12"/>
      <c r="Q137" s="128"/>
      <c r="R137" s="14"/>
      <c r="S137" s="37"/>
      <c r="T137" s="61"/>
      <c r="U137" s="14"/>
      <c r="V137" s="14"/>
    </row>
    <row r="138" spans="1:77" ht="30" customHeight="1" x14ac:dyDescent="0.25">
      <c r="A138" s="17"/>
      <c r="B138" s="31"/>
      <c r="C138" s="22"/>
      <c r="D138" s="3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4"/>
      <c r="P138" s="12"/>
      <c r="Q138" s="128"/>
      <c r="R138" s="14"/>
      <c r="S138" s="37"/>
      <c r="T138" s="61"/>
      <c r="U138" s="14"/>
      <c r="V138" s="38">
        <f>SUM(P128:P138)-SUM(T128:T138)</f>
        <v>191647.30000000005</v>
      </c>
    </row>
    <row r="139" spans="1:77" s="29" customFormat="1" ht="30" customHeight="1" x14ac:dyDescent="0.25">
      <c r="A139" s="24">
        <v>57227</v>
      </c>
      <c r="B139" s="33"/>
      <c r="C139" s="20"/>
      <c r="D139" s="34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73">
        <f>A139</f>
        <v>57227</v>
      </c>
      <c r="R139" s="15"/>
      <c r="S139" s="40"/>
      <c r="T139" s="113"/>
      <c r="U139" s="15"/>
      <c r="V139" s="15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</row>
    <row r="140" spans="1:77" s="13" customFormat="1" ht="30" customHeight="1" x14ac:dyDescent="0.25">
      <c r="A140" s="17"/>
      <c r="B140" s="31" t="s">
        <v>313</v>
      </c>
      <c r="C140" s="22">
        <v>45206</v>
      </c>
      <c r="D140" s="32">
        <v>105</v>
      </c>
      <c r="E140" s="12">
        <f>2020000*25%</f>
        <v>505000</v>
      </c>
      <c r="F140" s="12">
        <v>277106</v>
      </c>
      <c r="G140" s="12">
        <f>E140-F140</f>
        <v>227894</v>
      </c>
      <c r="H140" s="12">
        <f>ROUND(G140*18%,)</f>
        <v>41021</v>
      </c>
      <c r="I140" s="12">
        <f>G140+H140</f>
        <v>268915</v>
      </c>
      <c r="J140" s="12">
        <f>ROUND(G140*$J$5,)</f>
        <v>2279</v>
      </c>
      <c r="K140" s="12">
        <f>ROUND(G140*$K$5,)</f>
        <v>11395</v>
      </c>
      <c r="L140" s="12">
        <f>ROUND(G140*$L$7,)</f>
        <v>0</v>
      </c>
      <c r="M140" s="12">
        <f>ROUND(G140*$M$5,)</f>
        <v>22789</v>
      </c>
      <c r="N140" s="96">
        <f>H140</f>
        <v>41021</v>
      </c>
      <c r="O140" s="12"/>
      <c r="P140" s="12">
        <f>G140-J140-K140-M140-O140</f>
        <v>191431</v>
      </c>
      <c r="Q140" s="128"/>
      <c r="R140" s="14" t="s">
        <v>170</v>
      </c>
      <c r="S140" s="37">
        <v>300000</v>
      </c>
      <c r="T140" s="26">
        <f t="shared" si="14"/>
        <v>297000</v>
      </c>
      <c r="U140" s="35" t="s">
        <v>189</v>
      </c>
      <c r="V140" s="35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</row>
    <row r="141" spans="1:77" s="13" customFormat="1" ht="30" customHeight="1" x14ac:dyDescent="0.25">
      <c r="A141" s="17"/>
      <c r="B141" s="31"/>
      <c r="C141" s="22">
        <v>45225</v>
      </c>
      <c r="D141" s="32">
        <v>120</v>
      </c>
      <c r="E141" s="12">
        <v>303000</v>
      </c>
      <c r="F141" s="12">
        <v>164615</v>
      </c>
      <c r="G141" s="12">
        <f>E141-F141</f>
        <v>138385</v>
      </c>
      <c r="H141" s="12">
        <f>G141*18%</f>
        <v>24909.3</v>
      </c>
      <c r="I141" s="12">
        <f>G141+H141</f>
        <v>163294.29999999999</v>
      </c>
      <c r="J141" s="12">
        <f>I141*1%</f>
        <v>1632.943</v>
      </c>
      <c r="K141" s="12">
        <f>I141*5%</f>
        <v>8164.7150000000001</v>
      </c>
      <c r="L141" s="12">
        <f>ROUND(G141*$L$7,)</f>
        <v>0</v>
      </c>
      <c r="M141" s="12">
        <f>I141*10%</f>
        <v>16329.43</v>
      </c>
      <c r="N141" s="96">
        <f>G141*18%</f>
        <v>24909.3</v>
      </c>
      <c r="O141" s="12">
        <v>24909</v>
      </c>
      <c r="P141" s="12">
        <v>116243</v>
      </c>
      <c r="Q141" s="128"/>
      <c r="R141" s="14"/>
      <c r="S141" s="37">
        <v>300000</v>
      </c>
      <c r="T141" s="61">
        <v>297000</v>
      </c>
      <c r="U141" s="14" t="s">
        <v>387</v>
      </c>
      <c r="V141" s="35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</row>
    <row r="142" spans="1:77" s="13" customFormat="1" ht="30" customHeight="1" x14ac:dyDescent="0.25">
      <c r="A142" s="17"/>
      <c r="B142" s="31"/>
      <c r="C142" s="22">
        <v>45299</v>
      </c>
      <c r="D142" s="32">
        <v>156</v>
      </c>
      <c r="E142" s="12">
        <v>303000</v>
      </c>
      <c r="F142" s="12">
        <v>100288</v>
      </c>
      <c r="G142" s="12">
        <f>E142-F142</f>
        <v>202712</v>
      </c>
      <c r="H142" s="12">
        <f>G142*18%</f>
        <v>36488.159999999996</v>
      </c>
      <c r="I142" s="12">
        <f>G142+H142</f>
        <v>239200.16</v>
      </c>
      <c r="J142" s="12">
        <f>G142*1%</f>
        <v>2027.1200000000001</v>
      </c>
      <c r="K142" s="12">
        <f>G142*5%</f>
        <v>10135.6</v>
      </c>
      <c r="L142" s="12">
        <f>ROUND(G142*$L$7,)</f>
        <v>0</v>
      </c>
      <c r="M142" s="12">
        <f>G142*10%</f>
        <v>20271.2</v>
      </c>
      <c r="N142" s="12">
        <f>G142*18%</f>
        <v>36488.159999999996</v>
      </c>
      <c r="O142" s="12">
        <v>0</v>
      </c>
      <c r="P142" s="12">
        <f>G142-J142-K142-M142</f>
        <v>170278.08</v>
      </c>
      <c r="Q142" s="128"/>
      <c r="R142" s="14"/>
      <c r="S142" s="37"/>
      <c r="T142" s="61"/>
      <c r="U142" s="35"/>
      <c r="V142" s="35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</row>
    <row r="143" spans="1:77" s="13" customFormat="1" ht="30" customHeight="1" x14ac:dyDescent="0.25">
      <c r="A143" s="17"/>
      <c r="B143" s="31"/>
      <c r="C143" s="22">
        <v>45309</v>
      </c>
      <c r="D143" s="32">
        <v>173</v>
      </c>
      <c r="E143" s="12">
        <v>303000</v>
      </c>
      <c r="F143" s="12">
        <v>115528</v>
      </c>
      <c r="G143" s="12">
        <f>E143-F143</f>
        <v>187472</v>
      </c>
      <c r="H143" s="12">
        <f>G143*18%</f>
        <v>33744.959999999999</v>
      </c>
      <c r="I143" s="12">
        <f>G143+H143</f>
        <v>221216.96</v>
      </c>
      <c r="J143" s="12">
        <f>G143*1%</f>
        <v>1874.72</v>
      </c>
      <c r="K143" s="12">
        <f>G143*5%</f>
        <v>9373.6</v>
      </c>
      <c r="L143" s="12">
        <f>ROUND(G143*$L$7,)</f>
        <v>0</v>
      </c>
      <c r="M143" s="12">
        <f>G143*10%</f>
        <v>18747.2</v>
      </c>
      <c r="N143" s="12">
        <f>G143*18%</f>
        <v>33744.959999999999</v>
      </c>
      <c r="O143" s="12">
        <v>0</v>
      </c>
      <c r="P143" s="12">
        <f>G143-J143-K143-M143</f>
        <v>157476.47999999998</v>
      </c>
      <c r="Q143" s="128"/>
      <c r="R143" s="14"/>
      <c r="S143" s="37"/>
      <c r="T143" s="61"/>
      <c r="U143" s="35"/>
      <c r="V143" s="35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</row>
    <row r="144" spans="1:77" s="13" customFormat="1" ht="30" customHeight="1" x14ac:dyDescent="0.25">
      <c r="A144" s="17"/>
      <c r="B144" s="31"/>
      <c r="C144" s="22">
        <v>45318</v>
      </c>
      <c r="D144" s="32">
        <v>179</v>
      </c>
      <c r="E144" s="12">
        <v>202000</v>
      </c>
      <c r="F144" s="12">
        <v>96165</v>
      </c>
      <c r="G144" s="12">
        <f>E144-F144</f>
        <v>105835</v>
      </c>
      <c r="H144" s="12">
        <f>G144*18%</f>
        <v>19050.3</v>
      </c>
      <c r="I144" s="12">
        <f>G144+H144</f>
        <v>124885.3</v>
      </c>
      <c r="J144" s="12">
        <f>G144*1%</f>
        <v>1058.3499999999999</v>
      </c>
      <c r="K144" s="12">
        <f>G144*5%</f>
        <v>5291.75</v>
      </c>
      <c r="L144" s="12">
        <f>ROUND(G144*$L$7,)</f>
        <v>0</v>
      </c>
      <c r="M144" s="12">
        <v>0</v>
      </c>
      <c r="N144" s="12">
        <f>G144*18%</f>
        <v>19050.3</v>
      </c>
      <c r="O144" s="12">
        <v>101000</v>
      </c>
      <c r="P144" s="12">
        <f>G144-J144-K144-M144-O144</f>
        <v>-1515.1000000000058</v>
      </c>
      <c r="Q144" s="128"/>
      <c r="R144" s="35"/>
      <c r="S144" s="64"/>
      <c r="T144" s="61"/>
      <c r="U144" s="35"/>
      <c r="V144" s="38">
        <f>SUM(P140:P144)-SUM(T140:T144)</f>
        <v>39913.459999999963</v>
      </c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</row>
    <row r="145" spans="1:22" ht="30" customHeight="1" x14ac:dyDescent="0.25">
      <c r="A145" s="24">
        <v>58032</v>
      </c>
      <c r="B145" s="33"/>
      <c r="C145" s="20"/>
      <c r="D145" s="34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73">
        <f>A145</f>
        <v>58032</v>
      </c>
      <c r="R145" s="16"/>
      <c r="S145" s="16"/>
      <c r="T145" s="113"/>
      <c r="U145" s="16"/>
      <c r="V145" s="15"/>
    </row>
    <row r="146" spans="1:22" ht="30" customHeight="1" x14ac:dyDescent="0.25">
      <c r="A146" s="17">
        <v>2850000</v>
      </c>
      <c r="B146" s="31" t="s">
        <v>337</v>
      </c>
      <c r="C146" s="22">
        <v>45100</v>
      </c>
      <c r="D146" s="32">
        <v>16</v>
      </c>
      <c r="E146" s="12">
        <v>128974</v>
      </c>
      <c r="F146" s="12">
        <v>76000</v>
      </c>
      <c r="G146" s="12">
        <f>E146-F146</f>
        <v>52974</v>
      </c>
      <c r="H146" s="12">
        <f>ROUND(G146*18%,)</f>
        <v>9535</v>
      </c>
      <c r="I146" s="12">
        <f>G146+H146</f>
        <v>62509</v>
      </c>
      <c r="J146" s="12">
        <f>ROUND(G146*$J$5,)</f>
        <v>530</v>
      </c>
      <c r="K146" s="12">
        <f>ROUND(G146*$K$5,)</f>
        <v>2649</v>
      </c>
      <c r="L146" s="12">
        <f>G146*10%</f>
        <v>5297.4000000000005</v>
      </c>
      <c r="M146" s="12"/>
      <c r="N146" s="12">
        <f>H146</f>
        <v>9535</v>
      </c>
      <c r="O146" s="12"/>
      <c r="P146" s="12">
        <f>I146-SUM(J146:N146)</f>
        <v>44497.599999999999</v>
      </c>
      <c r="Q146" s="59"/>
      <c r="R146" s="12" t="s">
        <v>124</v>
      </c>
      <c r="S146" s="12">
        <v>200000</v>
      </c>
      <c r="T146" s="26">
        <f t="shared" ref="T146:T149" si="24">S146-1%*S146</f>
        <v>198000</v>
      </c>
      <c r="U146" s="14" t="s">
        <v>159</v>
      </c>
      <c r="V146" s="14"/>
    </row>
    <row r="147" spans="1:22" ht="30" customHeight="1" x14ac:dyDescent="0.25">
      <c r="A147" s="17" t="s">
        <v>112</v>
      </c>
      <c r="B147" s="31"/>
      <c r="C147" s="22">
        <v>45139</v>
      </c>
      <c r="D147" s="32">
        <v>28</v>
      </c>
      <c r="E147" s="12">
        <v>13526</v>
      </c>
      <c r="F147" s="12">
        <v>0</v>
      </c>
      <c r="G147" s="12">
        <v>13526</v>
      </c>
      <c r="H147" s="12">
        <v>2435</v>
      </c>
      <c r="I147" s="12">
        <v>15961</v>
      </c>
      <c r="J147" s="12">
        <v>135</v>
      </c>
      <c r="K147" s="12">
        <v>676</v>
      </c>
      <c r="L147" s="12">
        <v>1352.6000000000001</v>
      </c>
      <c r="M147" s="12"/>
      <c r="N147" s="12">
        <f t="shared" ref="N147:N148" si="25">H147</f>
        <v>2435</v>
      </c>
      <c r="O147" s="12"/>
      <c r="P147" s="12">
        <v>11362.4</v>
      </c>
      <c r="Q147" s="132"/>
      <c r="R147" s="12" t="s">
        <v>105</v>
      </c>
      <c r="S147" s="12">
        <v>200000</v>
      </c>
      <c r="T147" s="26">
        <f t="shared" si="24"/>
        <v>198000</v>
      </c>
      <c r="U147" s="35" t="s">
        <v>106</v>
      </c>
      <c r="V147" s="14"/>
    </row>
    <row r="148" spans="1:22" ht="30" customHeight="1" x14ac:dyDescent="0.25">
      <c r="A148" s="17"/>
      <c r="B148" s="31"/>
      <c r="C148" s="22">
        <v>45146</v>
      </c>
      <c r="D148" s="95">
        <v>64212</v>
      </c>
      <c r="E148" s="12">
        <v>570000</v>
      </c>
      <c r="F148" s="12">
        <v>102069</v>
      </c>
      <c r="G148" s="12">
        <f>E148-F148</f>
        <v>467931</v>
      </c>
      <c r="H148" s="12">
        <f>ROUND(G148*18%,)</f>
        <v>84228</v>
      </c>
      <c r="I148" s="12">
        <f>G148+H148</f>
        <v>552159</v>
      </c>
      <c r="J148" s="12">
        <f>ROUND(G148*$J$5,)</f>
        <v>4679</v>
      </c>
      <c r="K148" s="12">
        <f>ROUND(G148*$K$5,)</f>
        <v>23397</v>
      </c>
      <c r="L148" s="12">
        <f>G148*10%</f>
        <v>46793.100000000006</v>
      </c>
      <c r="M148" s="12"/>
      <c r="N148" s="96">
        <f t="shared" si="25"/>
        <v>84228</v>
      </c>
      <c r="O148" s="12"/>
      <c r="P148" s="12">
        <f>I148-SUM(J148:N148)</f>
        <v>393061.9</v>
      </c>
      <c r="Q148" s="133" t="s">
        <v>418</v>
      </c>
      <c r="R148" s="12" t="s">
        <v>155</v>
      </c>
      <c r="S148" s="12">
        <v>200000</v>
      </c>
      <c r="T148" s="26">
        <f t="shared" si="24"/>
        <v>198000</v>
      </c>
      <c r="U148" s="35" t="s">
        <v>153</v>
      </c>
      <c r="V148" s="14"/>
    </row>
    <row r="149" spans="1:22" ht="30" customHeight="1" x14ac:dyDescent="0.25">
      <c r="A149" s="17"/>
      <c r="B149" s="31" t="s">
        <v>114</v>
      </c>
      <c r="C149" s="22">
        <v>45141</v>
      </c>
      <c r="D149" s="32">
        <v>16</v>
      </c>
      <c r="E149" s="12">
        <f>H146</f>
        <v>9535</v>
      </c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>
        <v>1125</v>
      </c>
      <c r="Q149" s="132"/>
      <c r="R149" s="12" t="s">
        <v>156</v>
      </c>
      <c r="S149" s="12">
        <v>200000</v>
      </c>
      <c r="T149" s="26">
        <f t="shared" si="24"/>
        <v>198000</v>
      </c>
      <c r="U149" s="35" t="s">
        <v>154</v>
      </c>
      <c r="V149" s="14"/>
    </row>
    <row r="150" spans="1:22" ht="30" customHeight="1" x14ac:dyDescent="0.25">
      <c r="A150" s="17"/>
      <c r="B150" s="31" t="s">
        <v>114</v>
      </c>
      <c r="C150" s="22">
        <v>45162</v>
      </c>
      <c r="D150" s="32">
        <v>28</v>
      </c>
      <c r="E150" s="12">
        <f>H147</f>
        <v>2435</v>
      </c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>
        <f>N147</f>
        <v>2435</v>
      </c>
      <c r="Q150" s="132"/>
      <c r="R150" s="12" t="s">
        <v>350</v>
      </c>
      <c r="S150" s="12">
        <v>300000</v>
      </c>
      <c r="T150" s="26">
        <f t="shared" ref="T150" si="26">S150-1%*S150</f>
        <v>297000</v>
      </c>
      <c r="U150" s="35" t="s">
        <v>349</v>
      </c>
      <c r="V150" s="14"/>
    </row>
    <row r="151" spans="1:22" ht="30" customHeight="1" x14ac:dyDescent="0.25">
      <c r="A151" s="17"/>
      <c r="B151" s="31"/>
      <c r="C151" s="22"/>
      <c r="D151" s="3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32"/>
      <c r="R151" s="12"/>
      <c r="S151" s="12"/>
      <c r="T151" s="26"/>
      <c r="U151" s="35"/>
      <c r="V151" s="38">
        <f>SUM(P146:P151)-SUM(T146:T151)</f>
        <v>-636518.1</v>
      </c>
    </row>
    <row r="152" spans="1:22" ht="30" customHeight="1" x14ac:dyDescent="0.25">
      <c r="A152" s="24">
        <v>58033</v>
      </c>
      <c r="B152" s="33"/>
      <c r="C152" s="20"/>
      <c r="D152" s="34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73">
        <f>A152</f>
        <v>58033</v>
      </c>
      <c r="R152" s="15"/>
      <c r="S152" s="40"/>
      <c r="T152" s="113"/>
      <c r="U152" s="15"/>
      <c r="V152" s="15"/>
    </row>
    <row r="153" spans="1:22" ht="30" customHeight="1" x14ac:dyDescent="0.25">
      <c r="A153" s="17">
        <v>3150000</v>
      </c>
      <c r="B153" s="31" t="s">
        <v>330</v>
      </c>
      <c r="C153" s="22">
        <v>45100</v>
      </c>
      <c r="D153" s="32">
        <v>17</v>
      </c>
      <c r="E153" s="12">
        <v>143784.85</v>
      </c>
      <c r="F153" s="12">
        <f>11400+57662</f>
        <v>69062</v>
      </c>
      <c r="G153" s="12">
        <f>E153-F153</f>
        <v>74722.850000000006</v>
      </c>
      <c r="H153" s="12">
        <f>ROUND(G153*18%,)</f>
        <v>13450</v>
      </c>
      <c r="I153" s="12">
        <f>G153+H153</f>
        <v>88172.85</v>
      </c>
      <c r="J153" s="12">
        <f>ROUND(G153*$J$5,)</f>
        <v>747</v>
      </c>
      <c r="K153" s="12">
        <f>ROUND(G153*$K$5,)</f>
        <v>3736</v>
      </c>
      <c r="L153" s="14"/>
      <c r="M153" s="12">
        <f>G153*10%</f>
        <v>7472.2850000000008</v>
      </c>
      <c r="N153" s="12">
        <f>H153</f>
        <v>13450</v>
      </c>
      <c r="O153" s="12"/>
      <c r="P153" s="12">
        <f>I153-SUM(J153:N153)</f>
        <v>62767.565000000002</v>
      </c>
      <c r="Q153" s="128"/>
      <c r="R153" s="12" t="s">
        <v>120</v>
      </c>
      <c r="S153" s="12">
        <v>200000</v>
      </c>
      <c r="T153" s="26">
        <f t="shared" ref="T153" si="27">S153-1%*S153</f>
        <v>198000</v>
      </c>
      <c r="U153" s="14" t="s">
        <v>119</v>
      </c>
      <c r="V153" s="14"/>
    </row>
    <row r="154" spans="1:22" ht="30" customHeight="1" x14ac:dyDescent="0.25">
      <c r="A154" s="17"/>
      <c r="B154" s="31"/>
      <c r="C154" s="22">
        <v>45117</v>
      </c>
      <c r="D154" s="32" t="s">
        <v>430</v>
      </c>
      <c r="E154" s="12">
        <v>575139.4</v>
      </c>
      <c r="F154" s="12">
        <v>304973</v>
      </c>
      <c r="G154" s="12">
        <v>270166.40000000002</v>
      </c>
      <c r="H154" s="12">
        <v>48630</v>
      </c>
      <c r="I154" s="12">
        <v>318796.40000000002</v>
      </c>
      <c r="J154" s="12">
        <v>2702</v>
      </c>
      <c r="K154" s="12">
        <v>13508</v>
      </c>
      <c r="L154" s="14"/>
      <c r="M154" s="12">
        <v>27016.640000000003</v>
      </c>
      <c r="N154" s="12">
        <v>48630</v>
      </c>
      <c r="O154" s="12"/>
      <c r="P154" s="12">
        <v>226939.76</v>
      </c>
      <c r="Q154" s="126" t="s">
        <v>418</v>
      </c>
      <c r="R154" s="12" t="s">
        <v>124</v>
      </c>
      <c r="S154" s="12">
        <v>300000</v>
      </c>
      <c r="T154" s="26">
        <f t="shared" ref="T154:T159" si="28">S154-1%*S154</f>
        <v>297000</v>
      </c>
      <c r="U154" s="14" t="s">
        <v>123</v>
      </c>
      <c r="V154" s="14"/>
    </row>
    <row r="155" spans="1:22" ht="30" customHeight="1" x14ac:dyDescent="0.25">
      <c r="A155" s="17" t="s">
        <v>112</v>
      </c>
      <c r="B155" s="31"/>
      <c r="C155" s="22">
        <v>45139</v>
      </c>
      <c r="D155" s="95">
        <v>48197</v>
      </c>
      <c r="E155" s="12">
        <v>68575.75</v>
      </c>
      <c r="F155" s="12">
        <v>0</v>
      </c>
      <c r="G155" s="12">
        <v>68575.75</v>
      </c>
      <c r="H155" s="12">
        <v>12344</v>
      </c>
      <c r="I155" s="12">
        <v>80919.75</v>
      </c>
      <c r="J155" s="12">
        <v>686</v>
      </c>
      <c r="K155" s="12">
        <v>3429</v>
      </c>
      <c r="L155" s="14"/>
      <c r="M155" s="12">
        <v>6857.5750000000007</v>
      </c>
      <c r="N155" s="96">
        <v>12344</v>
      </c>
      <c r="O155" s="12"/>
      <c r="P155" s="12">
        <v>57603.175000000003</v>
      </c>
      <c r="Q155" s="126" t="s">
        <v>418</v>
      </c>
      <c r="R155" s="12" t="s">
        <v>155</v>
      </c>
      <c r="S155" s="12">
        <v>300000</v>
      </c>
      <c r="T155" s="26">
        <f t="shared" si="28"/>
        <v>297000</v>
      </c>
      <c r="U155" s="14" t="s">
        <v>160</v>
      </c>
      <c r="V155" s="14"/>
    </row>
    <row r="156" spans="1:22" ht="30" customHeight="1" x14ac:dyDescent="0.25">
      <c r="A156" s="17"/>
      <c r="B156" s="31"/>
      <c r="C156" s="22">
        <v>45171</v>
      </c>
      <c r="D156" s="32" t="s">
        <v>429</v>
      </c>
      <c r="E156" s="12">
        <f>3150000*15%</f>
        <v>472500</v>
      </c>
      <c r="F156" s="12">
        <v>154489.07</v>
      </c>
      <c r="G156" s="12">
        <f>E156-F156</f>
        <v>318010.93</v>
      </c>
      <c r="H156" s="12">
        <f>ROUND(G156*18%,)</f>
        <v>57242</v>
      </c>
      <c r="I156" s="12">
        <f>G156+H156</f>
        <v>375252.93</v>
      </c>
      <c r="J156" s="12">
        <f>ROUND(G156*$J$5,)</f>
        <v>3180</v>
      </c>
      <c r="K156" s="12">
        <f>ROUND(G156*$K$5,)</f>
        <v>15901</v>
      </c>
      <c r="L156" s="14"/>
      <c r="M156" s="12">
        <f>G156*10%</f>
        <v>31801.093000000001</v>
      </c>
      <c r="N156" s="96">
        <f>H156</f>
        <v>57242</v>
      </c>
      <c r="O156" s="12">
        <v>93495</v>
      </c>
      <c r="P156" s="12">
        <f>I156-SUM(J156:O156)</f>
        <v>173633.837</v>
      </c>
      <c r="Q156" s="127" t="s">
        <v>431</v>
      </c>
      <c r="R156" s="12" t="s">
        <v>156</v>
      </c>
      <c r="S156" s="12">
        <v>300000</v>
      </c>
      <c r="T156" s="26">
        <f t="shared" si="28"/>
        <v>297000</v>
      </c>
      <c r="U156" s="14" t="s">
        <v>161</v>
      </c>
      <c r="V156" s="14"/>
    </row>
    <row r="157" spans="1:22" ht="30" customHeight="1" x14ac:dyDescent="0.25">
      <c r="A157" s="17"/>
      <c r="B157" s="31" t="s">
        <v>114</v>
      </c>
      <c r="C157" s="22"/>
      <c r="D157" s="32">
        <v>17</v>
      </c>
      <c r="E157" s="12">
        <f>N153</f>
        <v>13450</v>
      </c>
      <c r="F157" s="12"/>
      <c r="G157" s="12"/>
      <c r="H157" s="12"/>
      <c r="I157" s="12"/>
      <c r="J157" s="12"/>
      <c r="K157" s="12"/>
      <c r="L157" s="14"/>
      <c r="M157" s="12"/>
      <c r="N157" s="12"/>
      <c r="O157" s="12"/>
      <c r="P157" s="12">
        <f>E157</f>
        <v>13450</v>
      </c>
      <c r="Q157" s="128"/>
      <c r="R157" s="12" t="s">
        <v>195</v>
      </c>
      <c r="S157" s="12">
        <v>200000</v>
      </c>
      <c r="T157" s="26">
        <f t="shared" si="28"/>
        <v>198000</v>
      </c>
      <c r="U157" s="35" t="s">
        <v>192</v>
      </c>
      <c r="V157" s="14"/>
    </row>
    <row r="158" spans="1:22" ht="30" customHeight="1" x14ac:dyDescent="0.25">
      <c r="A158" s="17"/>
      <c r="B158" s="31" t="s">
        <v>114</v>
      </c>
      <c r="C158" s="22"/>
      <c r="D158" s="32" t="s">
        <v>329</v>
      </c>
      <c r="E158" s="12">
        <f t="shared" ref="E158" si="29">N154</f>
        <v>48630</v>
      </c>
      <c r="F158" s="12"/>
      <c r="G158" s="12"/>
      <c r="H158" s="12"/>
      <c r="I158" s="12"/>
      <c r="J158" s="12"/>
      <c r="K158" s="12"/>
      <c r="L158" s="14"/>
      <c r="M158" s="12"/>
      <c r="N158" s="12"/>
      <c r="O158" s="12"/>
      <c r="P158" s="12">
        <f t="shared" ref="P158" si="30">E158</f>
        <v>48630</v>
      </c>
      <c r="Q158" s="128"/>
      <c r="R158" s="12" t="s">
        <v>196</v>
      </c>
      <c r="S158" s="12">
        <v>300000</v>
      </c>
      <c r="T158" s="26">
        <f t="shared" si="28"/>
        <v>297000</v>
      </c>
      <c r="U158" s="35" t="s">
        <v>193</v>
      </c>
      <c r="V158" s="14"/>
    </row>
    <row r="159" spans="1:22" ht="30" customHeight="1" x14ac:dyDescent="0.25">
      <c r="A159" s="17"/>
      <c r="B159" s="31"/>
      <c r="C159" s="22"/>
      <c r="D159" s="32"/>
      <c r="E159" s="12"/>
      <c r="F159" s="12"/>
      <c r="G159" s="12"/>
      <c r="H159" s="12"/>
      <c r="I159" s="12"/>
      <c r="J159" s="12"/>
      <c r="K159" s="12"/>
      <c r="L159" s="14"/>
      <c r="M159" s="12"/>
      <c r="N159" s="12"/>
      <c r="O159" s="12"/>
      <c r="P159" s="12"/>
      <c r="Q159" s="128"/>
      <c r="R159" s="12" t="s">
        <v>197</v>
      </c>
      <c r="S159" s="12">
        <v>250000</v>
      </c>
      <c r="T159" s="26">
        <f t="shared" si="28"/>
        <v>247500</v>
      </c>
      <c r="U159" s="35" t="s">
        <v>194</v>
      </c>
      <c r="V159" s="14"/>
    </row>
    <row r="160" spans="1:22" ht="30" customHeight="1" x14ac:dyDescent="0.25">
      <c r="A160" s="17"/>
      <c r="B160" s="31"/>
      <c r="C160" s="22"/>
      <c r="D160" s="3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8"/>
      <c r="R160" s="12"/>
      <c r="S160" s="12"/>
      <c r="T160" s="61"/>
      <c r="U160" s="14"/>
      <c r="V160" s="38">
        <f>SUM(P153:P160)-SUM(T153:T160)</f>
        <v>-1248475.6629999999</v>
      </c>
    </row>
    <row r="161" spans="1:77" ht="30" customHeight="1" x14ac:dyDescent="0.25">
      <c r="A161" s="24">
        <v>58034</v>
      </c>
      <c r="B161" s="33"/>
      <c r="C161" s="20"/>
      <c r="D161" s="34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73">
        <f>A161</f>
        <v>58034</v>
      </c>
      <c r="R161" s="52"/>
      <c r="S161" s="52"/>
      <c r="T161" s="114"/>
      <c r="U161" s="28"/>
      <c r="V161" s="15"/>
    </row>
    <row r="162" spans="1:77" ht="30" customHeight="1" x14ac:dyDescent="0.25">
      <c r="A162" s="17">
        <v>2475000</v>
      </c>
      <c r="B162" s="31" t="s">
        <v>345</v>
      </c>
      <c r="C162" s="22">
        <v>45100</v>
      </c>
      <c r="D162" s="32">
        <v>18</v>
      </c>
      <c r="E162" s="12">
        <v>470864</v>
      </c>
      <c r="F162" s="12">
        <v>392767</v>
      </c>
      <c r="G162" s="12">
        <f>E162-F162</f>
        <v>78097</v>
      </c>
      <c r="H162" s="12">
        <f>ROUND(G162*18%,)</f>
        <v>14057</v>
      </c>
      <c r="I162" s="12">
        <f>G162+H162</f>
        <v>92154</v>
      </c>
      <c r="J162" s="12">
        <f>ROUND(G162*J5,)</f>
        <v>781</v>
      </c>
      <c r="K162" s="12">
        <f>ROUND(G162*K5,)</f>
        <v>3905</v>
      </c>
      <c r="L162" s="12">
        <f>G162*10%</f>
        <v>7809.7000000000007</v>
      </c>
      <c r="M162" s="12"/>
      <c r="N162" s="96">
        <f t="shared" ref="N162:N163" si="31">G162*18%</f>
        <v>14057.46</v>
      </c>
      <c r="O162" s="12"/>
      <c r="P162" s="12">
        <f>I162-SUM(J162:N162)</f>
        <v>65600.84</v>
      </c>
      <c r="Q162" s="59"/>
      <c r="R162" s="12" t="s">
        <v>133</v>
      </c>
      <c r="S162" s="12">
        <v>500000</v>
      </c>
      <c r="T162" s="26">
        <f t="shared" ref="T162" si="32">S162-1%*S162</f>
        <v>495000</v>
      </c>
      <c r="U162" s="51" t="s">
        <v>132</v>
      </c>
      <c r="V162" s="14"/>
    </row>
    <row r="163" spans="1:77" ht="30" customHeight="1" x14ac:dyDescent="0.15">
      <c r="A163" s="17" t="s">
        <v>112</v>
      </c>
      <c r="B163" s="31"/>
      <c r="C163" s="22">
        <v>45139</v>
      </c>
      <c r="D163" s="95">
        <v>47196</v>
      </c>
      <c r="E163" s="12">
        <v>51136</v>
      </c>
      <c r="F163" s="12">
        <v>0</v>
      </c>
      <c r="G163" s="12">
        <v>51136</v>
      </c>
      <c r="H163" s="12">
        <v>9204</v>
      </c>
      <c r="I163" s="12">
        <v>60340</v>
      </c>
      <c r="J163" s="12">
        <v>511</v>
      </c>
      <c r="K163" s="12">
        <v>2557</v>
      </c>
      <c r="L163" s="12">
        <v>5113.6000000000004</v>
      </c>
      <c r="M163" s="12"/>
      <c r="N163" s="96">
        <f t="shared" si="31"/>
        <v>9204.48</v>
      </c>
      <c r="O163" s="12"/>
      <c r="P163" s="12">
        <v>42954.400000000001</v>
      </c>
      <c r="Q163" s="104" t="s">
        <v>418</v>
      </c>
      <c r="R163" s="12"/>
      <c r="S163" s="12"/>
      <c r="T163" s="26"/>
      <c r="U163" s="49"/>
      <c r="V163" s="14"/>
    </row>
    <row r="164" spans="1:77" ht="30" customHeight="1" x14ac:dyDescent="0.25">
      <c r="A164" s="17"/>
      <c r="B164" s="31"/>
      <c r="C164" s="22">
        <v>45225</v>
      </c>
      <c r="D164" s="32">
        <v>118</v>
      </c>
      <c r="E164" s="12">
        <v>391500</v>
      </c>
      <c r="F164" s="12">
        <v>173779</v>
      </c>
      <c r="G164" s="12">
        <f>E164-F164</f>
        <v>217721</v>
      </c>
      <c r="H164" s="12">
        <f>G164*18%</f>
        <v>39189.78</v>
      </c>
      <c r="I164" s="12">
        <f>G164+H164</f>
        <v>256910.78</v>
      </c>
      <c r="J164" s="12">
        <f>I164*1%</f>
        <v>2569.1078000000002</v>
      </c>
      <c r="K164" s="12">
        <f>I164*5%</f>
        <v>12845.539000000001</v>
      </c>
      <c r="L164" s="12" t="s">
        <v>212</v>
      </c>
      <c r="M164" s="12">
        <f>I164*10%</f>
        <v>25691.078000000001</v>
      </c>
      <c r="N164" s="96">
        <f>G164*18%</f>
        <v>39189.78</v>
      </c>
      <c r="O164" s="12">
        <v>39188</v>
      </c>
      <c r="P164" s="12">
        <v>182877</v>
      </c>
      <c r="Q164" s="59"/>
      <c r="R164" s="12"/>
      <c r="S164" s="12"/>
      <c r="T164" s="26"/>
      <c r="U164" s="35"/>
      <c r="V164" s="14"/>
    </row>
    <row r="165" spans="1:77" ht="30" customHeight="1" x14ac:dyDescent="0.25">
      <c r="A165" s="17"/>
      <c r="B165" s="31"/>
      <c r="C165" s="22"/>
      <c r="D165" s="3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59"/>
      <c r="R165" s="12"/>
      <c r="S165" s="12"/>
      <c r="T165" s="26"/>
      <c r="U165" s="35"/>
      <c r="V165" s="14"/>
    </row>
    <row r="166" spans="1:77" ht="30" customHeight="1" x14ac:dyDescent="0.25">
      <c r="A166" s="17"/>
      <c r="B166" s="31"/>
      <c r="C166" s="22"/>
      <c r="D166" s="3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59"/>
      <c r="R166" s="12"/>
      <c r="S166" s="12"/>
      <c r="T166" s="26"/>
      <c r="U166" s="35"/>
      <c r="V166" s="14"/>
    </row>
    <row r="167" spans="1:77" ht="30" customHeight="1" x14ac:dyDescent="0.25">
      <c r="A167" s="17"/>
      <c r="B167" s="31"/>
      <c r="C167" s="22"/>
      <c r="D167" s="3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59"/>
      <c r="R167" s="12"/>
      <c r="S167" s="12"/>
      <c r="T167" s="26"/>
      <c r="U167" s="35"/>
      <c r="V167" s="38">
        <f>SUM(P162:P167)-SUM(T162:T167)</f>
        <v>-203567.76</v>
      </c>
    </row>
    <row r="168" spans="1:77" ht="30" customHeight="1" x14ac:dyDescent="0.25">
      <c r="A168" s="24">
        <v>58045</v>
      </c>
      <c r="B168" s="16"/>
      <c r="C168" s="20"/>
      <c r="D168" s="34"/>
      <c r="E168" s="16"/>
      <c r="F168" s="16"/>
      <c r="G168" s="16"/>
      <c r="H168" s="16"/>
      <c r="I168" s="16"/>
      <c r="J168" s="16"/>
      <c r="K168" s="16"/>
      <c r="L168" s="16"/>
      <c r="M168" s="16"/>
      <c r="N168" s="39"/>
      <c r="O168" s="39"/>
      <c r="P168" s="16"/>
      <c r="Q168" s="73">
        <f>A168</f>
        <v>58045</v>
      </c>
      <c r="R168" s="15"/>
      <c r="S168" s="40"/>
      <c r="T168" s="114"/>
      <c r="U168" s="15"/>
      <c r="V168" s="15"/>
    </row>
    <row r="169" spans="1:77" ht="30" customHeight="1" x14ac:dyDescent="0.25">
      <c r="A169" s="17">
        <v>4130000</v>
      </c>
      <c r="B169" s="31" t="s">
        <v>325</v>
      </c>
      <c r="C169" s="22">
        <v>45117</v>
      </c>
      <c r="D169" s="107">
        <v>24186</v>
      </c>
      <c r="E169" s="12">
        <f>3765301*25%</f>
        <v>941325.25</v>
      </c>
      <c r="F169" s="12">
        <v>313377</v>
      </c>
      <c r="G169" s="12">
        <f>E169-F169</f>
        <v>627948.25</v>
      </c>
      <c r="H169" s="12">
        <f>ROUND(G169*18%,)</f>
        <v>113031</v>
      </c>
      <c r="I169" s="12">
        <f>G169+H169</f>
        <v>740979.25</v>
      </c>
      <c r="J169" s="12">
        <f>ROUND(G169*J5,)</f>
        <v>6279</v>
      </c>
      <c r="K169" s="12">
        <f>ROUND(G169*5%,)</f>
        <v>31397</v>
      </c>
      <c r="L169" s="12"/>
      <c r="M169" s="12">
        <f>G169*10%</f>
        <v>62794.825000000004</v>
      </c>
      <c r="N169" s="96">
        <f>H169</f>
        <v>113031</v>
      </c>
      <c r="O169" s="12"/>
      <c r="P169" s="12">
        <f>I169-SUM(J169:N169)</f>
        <v>527477.42500000005</v>
      </c>
      <c r="Q169" s="128"/>
      <c r="R169" s="14" t="s">
        <v>118</v>
      </c>
      <c r="S169" s="37">
        <v>300000</v>
      </c>
      <c r="T169" s="26">
        <f t="shared" ref="T169:T174" si="33">S169-1%*S169</f>
        <v>297000</v>
      </c>
      <c r="U169" s="35" t="s">
        <v>117</v>
      </c>
      <c r="V169" s="14"/>
    </row>
    <row r="170" spans="1:77" ht="30" customHeight="1" x14ac:dyDescent="0.25">
      <c r="A170" s="58" t="s">
        <v>112</v>
      </c>
      <c r="B170" s="12"/>
      <c r="C170" s="22">
        <v>45139</v>
      </c>
      <c r="D170" s="32" t="s">
        <v>404</v>
      </c>
      <c r="E170" s="12">
        <v>91174.75</v>
      </c>
      <c r="F170" s="12">
        <v>0</v>
      </c>
      <c r="G170" s="12">
        <v>91174.75</v>
      </c>
      <c r="H170" s="12">
        <v>16411</v>
      </c>
      <c r="I170" s="12">
        <v>107585.75</v>
      </c>
      <c r="J170" s="12">
        <v>912</v>
      </c>
      <c r="K170" s="12">
        <v>4559</v>
      </c>
      <c r="L170" s="12"/>
      <c r="M170" s="12">
        <v>9117.4750000000004</v>
      </c>
      <c r="N170" s="98">
        <v>16411</v>
      </c>
      <c r="O170" s="38"/>
      <c r="P170" s="12">
        <v>76586.274999999994</v>
      </c>
      <c r="Q170" s="104" t="s">
        <v>418</v>
      </c>
      <c r="R170" s="14" t="s">
        <v>126</v>
      </c>
      <c r="S170" s="37">
        <v>200000</v>
      </c>
      <c r="T170" s="26">
        <f t="shared" si="33"/>
        <v>198000</v>
      </c>
      <c r="U170" s="14" t="s">
        <v>125</v>
      </c>
      <c r="V170" s="14"/>
    </row>
    <row r="171" spans="1:77" s="25" customFormat="1" ht="30" customHeight="1" x14ac:dyDescent="0.25">
      <c r="A171" s="58"/>
      <c r="B171" s="31"/>
      <c r="C171" s="22">
        <v>45162</v>
      </c>
      <c r="D171" s="32">
        <v>35</v>
      </c>
      <c r="E171" s="12">
        <v>619500</v>
      </c>
      <c r="F171" s="12">
        <v>205092.35</v>
      </c>
      <c r="G171" s="12">
        <f>E171-F171</f>
        <v>414407.65</v>
      </c>
      <c r="H171" s="12">
        <f>ROUND(G171*18%,)</f>
        <v>74593</v>
      </c>
      <c r="I171" s="12">
        <f>G171+H171</f>
        <v>489000.65</v>
      </c>
      <c r="J171" s="12">
        <f>ROUND(G171*$J$5,)</f>
        <v>4144</v>
      </c>
      <c r="K171" s="12">
        <f>ROUND(G171*$K$5,)</f>
        <v>20720</v>
      </c>
      <c r="L171" s="14"/>
      <c r="M171" s="12">
        <f>G171*10%</f>
        <v>41440.765000000007</v>
      </c>
      <c r="N171" s="12">
        <f>H171</f>
        <v>74593</v>
      </c>
      <c r="O171" s="12"/>
      <c r="P171" s="12">
        <f>I171-SUM(J171:N171)</f>
        <v>348102.88500000001</v>
      </c>
      <c r="Q171" s="132"/>
      <c r="R171" s="14" t="s">
        <v>135</v>
      </c>
      <c r="S171" s="37">
        <v>100000</v>
      </c>
      <c r="T171" s="26">
        <f t="shared" si="33"/>
        <v>99000</v>
      </c>
      <c r="U171" s="35" t="s">
        <v>134</v>
      </c>
      <c r="V171" s="76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</row>
    <row r="172" spans="1:77" ht="30" customHeight="1" x14ac:dyDescent="0.25">
      <c r="A172" s="58"/>
      <c r="B172" s="31"/>
      <c r="C172" s="22">
        <v>45263</v>
      </c>
      <c r="D172" s="32">
        <v>137</v>
      </c>
      <c r="E172" s="12">
        <v>619500</v>
      </c>
      <c r="F172" s="12">
        <v>214620</v>
      </c>
      <c r="G172" s="12">
        <f>E172-F172</f>
        <v>404880</v>
      </c>
      <c r="H172" s="12">
        <f>ROUND(G172*18%,)</f>
        <v>72878</v>
      </c>
      <c r="I172" s="12">
        <f>G172+H172</f>
        <v>477758</v>
      </c>
      <c r="J172" s="12">
        <f>ROUND(G172*$J$5,)</f>
        <v>4049</v>
      </c>
      <c r="K172" s="12">
        <f>ROUND(G172*$K$5,)</f>
        <v>20244</v>
      </c>
      <c r="L172" s="14"/>
      <c r="M172" s="12">
        <f>G172*10%</f>
        <v>40488</v>
      </c>
      <c r="N172" s="96">
        <f>H172</f>
        <v>72878</v>
      </c>
      <c r="O172" s="12"/>
      <c r="P172" s="12">
        <f>I172-SUM(J172:N172)</f>
        <v>340099</v>
      </c>
      <c r="Q172" s="132"/>
      <c r="R172" s="14" t="s">
        <v>172</v>
      </c>
      <c r="S172" s="37">
        <v>500000</v>
      </c>
      <c r="T172" s="26">
        <f t="shared" si="33"/>
        <v>495000</v>
      </c>
      <c r="U172" s="14" t="s">
        <v>171</v>
      </c>
      <c r="V172" s="14"/>
    </row>
    <row r="173" spans="1:77" ht="30" customHeight="1" x14ac:dyDescent="0.25">
      <c r="A173" s="58"/>
      <c r="B173" s="31" t="s">
        <v>114</v>
      </c>
      <c r="C173" s="22"/>
      <c r="D173" s="32">
        <v>35</v>
      </c>
      <c r="E173" s="12">
        <f>N171</f>
        <v>74593</v>
      </c>
      <c r="F173" s="12"/>
      <c r="G173" s="12"/>
      <c r="H173" s="12"/>
      <c r="I173" s="12"/>
      <c r="J173" s="12"/>
      <c r="K173" s="12"/>
      <c r="L173" s="12"/>
      <c r="M173" s="12"/>
      <c r="N173" s="38"/>
      <c r="O173" s="38"/>
      <c r="P173" s="12">
        <f t="shared" ref="P173" si="34">E173</f>
        <v>74593</v>
      </c>
      <c r="Q173" s="132"/>
      <c r="R173" s="14" t="s">
        <v>220</v>
      </c>
      <c r="S173" s="37">
        <v>250000</v>
      </c>
      <c r="T173" s="26">
        <f t="shared" si="33"/>
        <v>247500</v>
      </c>
      <c r="U173" s="14" t="s">
        <v>218</v>
      </c>
      <c r="V173" s="14"/>
    </row>
    <row r="174" spans="1:77" ht="30" customHeight="1" x14ac:dyDescent="0.25">
      <c r="A174" s="58"/>
      <c r="B174" s="31"/>
      <c r="C174" s="22">
        <v>45309</v>
      </c>
      <c r="D174" s="32">
        <v>172</v>
      </c>
      <c r="E174" s="12">
        <v>413000</v>
      </c>
      <c r="F174" s="12">
        <v>210351.43</v>
      </c>
      <c r="G174" s="12">
        <f>E174-F174</f>
        <v>202648.57</v>
      </c>
      <c r="H174" s="12">
        <f>ROUND(G174*18%,)</f>
        <v>36477</v>
      </c>
      <c r="I174" s="12">
        <f>G174+H174</f>
        <v>239125.57</v>
      </c>
      <c r="J174" s="12">
        <f>ROUND(G174*$J$5,)</f>
        <v>2026</v>
      </c>
      <c r="K174" s="12">
        <f>ROUND(G174*$K$5,)</f>
        <v>10132</v>
      </c>
      <c r="L174" s="14"/>
      <c r="M174" s="12">
        <f>G174*10%</f>
        <v>20264.857000000004</v>
      </c>
      <c r="N174" s="96">
        <f>H174</f>
        <v>36477</v>
      </c>
      <c r="O174" s="12"/>
      <c r="P174" s="12">
        <f>I174-SUM(J174:N174)</f>
        <v>170225.71299999999</v>
      </c>
      <c r="Q174" s="134" t="s">
        <v>456</v>
      </c>
      <c r="R174" s="14" t="s">
        <v>221</v>
      </c>
      <c r="S174" s="37">
        <v>200000</v>
      </c>
      <c r="T174" s="26">
        <f t="shared" si="33"/>
        <v>198000</v>
      </c>
      <c r="U174" s="14" t="s">
        <v>219</v>
      </c>
      <c r="V174" s="38">
        <f>SUM(P169:P175)-SUM(T169:T175)</f>
        <v>-195415.70200000005</v>
      </c>
    </row>
    <row r="175" spans="1:77" ht="30" customHeight="1" x14ac:dyDescent="0.25">
      <c r="A175" s="58"/>
      <c r="B175" s="31"/>
      <c r="C175" s="22"/>
      <c r="D175" s="32"/>
      <c r="E175" s="12"/>
      <c r="F175" s="12"/>
      <c r="G175" s="12"/>
      <c r="H175" s="12"/>
      <c r="I175" s="12"/>
      <c r="J175" s="12"/>
      <c r="K175" s="12"/>
      <c r="L175" s="12"/>
      <c r="M175" s="12"/>
      <c r="N175" s="38"/>
      <c r="O175" s="38"/>
      <c r="P175" s="12"/>
      <c r="Q175" s="132"/>
      <c r="R175" s="14" t="s">
        <v>352</v>
      </c>
      <c r="S175" s="37">
        <v>200000</v>
      </c>
      <c r="T175" s="26">
        <f t="shared" ref="T175" si="35">S175-1%*S175</f>
        <v>198000</v>
      </c>
      <c r="U175" s="14" t="s">
        <v>351</v>
      </c>
      <c r="V175" s="38"/>
    </row>
    <row r="176" spans="1:77" ht="30" customHeight="1" x14ac:dyDescent="0.25">
      <c r="A176" s="24">
        <v>58354</v>
      </c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73">
        <f>A176</f>
        <v>58354</v>
      </c>
      <c r="R176" s="16"/>
      <c r="S176" s="16"/>
      <c r="T176" s="114"/>
      <c r="U176" s="15"/>
      <c r="V176" s="15"/>
    </row>
    <row r="177" spans="1:77" ht="30" customHeight="1" x14ac:dyDescent="0.25">
      <c r="A177" s="17">
        <v>3150000</v>
      </c>
      <c r="B177" s="31" t="s">
        <v>324</v>
      </c>
      <c r="C177" s="22">
        <v>45117</v>
      </c>
      <c r="D177" s="32">
        <v>21</v>
      </c>
      <c r="E177" s="12">
        <f>2875697*5%</f>
        <v>143784.85</v>
      </c>
      <c r="F177" s="12">
        <v>38000</v>
      </c>
      <c r="G177" s="12">
        <f>E177-F177</f>
        <v>105784.85</v>
      </c>
      <c r="H177" s="12">
        <f>ROUND(G177*18%,)</f>
        <v>19041</v>
      </c>
      <c r="I177" s="12">
        <f>G177+H177</f>
        <v>124825.85</v>
      </c>
      <c r="J177" s="12">
        <f>ROUND(G177*1%,)</f>
        <v>1058</v>
      </c>
      <c r="K177" s="12">
        <f>ROUND(G177*5%,)</f>
        <v>5289</v>
      </c>
      <c r="L177" s="12">
        <v>0</v>
      </c>
      <c r="M177" s="12">
        <f>G177*10%</f>
        <v>10578.485000000001</v>
      </c>
      <c r="N177" s="38">
        <f>H177</f>
        <v>19041</v>
      </c>
      <c r="O177" s="38"/>
      <c r="P177" s="12">
        <f>I177-SUM(J177:N177)</f>
        <v>88859.365000000005</v>
      </c>
      <c r="Q177" s="128"/>
      <c r="R177" s="14" t="s">
        <v>102</v>
      </c>
      <c r="S177" s="37">
        <v>500000</v>
      </c>
      <c r="T177" s="26">
        <f t="shared" ref="T177:T181" si="36">S177-1%*S177</f>
        <v>495000</v>
      </c>
      <c r="U177" s="35" t="s">
        <v>101</v>
      </c>
      <c r="V177" s="14"/>
    </row>
    <row r="178" spans="1:77" ht="30" customHeight="1" x14ac:dyDescent="0.25">
      <c r="A178" s="58"/>
      <c r="B178" s="31"/>
      <c r="C178" s="22">
        <v>45117</v>
      </c>
      <c r="D178" s="32">
        <v>25</v>
      </c>
      <c r="E178" s="12">
        <v>575139.4</v>
      </c>
      <c r="F178" s="12">
        <v>338488</v>
      </c>
      <c r="G178" s="12">
        <f>E178-F178</f>
        <v>236651.40000000002</v>
      </c>
      <c r="H178" s="12">
        <f>ROUND(G178*18%,)</f>
        <v>42597</v>
      </c>
      <c r="I178" s="12">
        <f>G178+H178</f>
        <v>279248.40000000002</v>
      </c>
      <c r="J178" s="12">
        <f>ROUND(G178*1%,)</f>
        <v>2367</v>
      </c>
      <c r="K178" s="12">
        <f>ROUND(G178*5%,)</f>
        <v>11833</v>
      </c>
      <c r="L178" s="12"/>
      <c r="M178" s="12">
        <f>G178*10%</f>
        <v>23665.140000000003</v>
      </c>
      <c r="N178" s="38">
        <f>H178</f>
        <v>42597</v>
      </c>
      <c r="O178" s="38"/>
      <c r="P178" s="12">
        <f>I178-SUM(J178:N178)</f>
        <v>198786.26</v>
      </c>
      <c r="Q178" s="132"/>
      <c r="R178" s="14" t="s">
        <v>359</v>
      </c>
      <c r="S178" s="37">
        <v>300000</v>
      </c>
      <c r="T178" s="26">
        <f t="shared" si="36"/>
        <v>297000</v>
      </c>
      <c r="U178" s="14" t="s">
        <v>165</v>
      </c>
      <c r="V178" s="14"/>
    </row>
    <row r="179" spans="1:77" ht="30" customHeight="1" x14ac:dyDescent="0.25">
      <c r="A179" s="17" t="s">
        <v>112</v>
      </c>
      <c r="B179" s="12"/>
      <c r="C179" s="22">
        <v>45139</v>
      </c>
      <c r="D179" s="32" t="s">
        <v>439</v>
      </c>
      <c r="E179" s="12">
        <v>68575.749999999971</v>
      </c>
      <c r="F179" s="12">
        <v>0</v>
      </c>
      <c r="G179" s="12">
        <v>68575.749999999971</v>
      </c>
      <c r="H179" s="12">
        <v>12344</v>
      </c>
      <c r="I179" s="12">
        <v>80919.749999999971</v>
      </c>
      <c r="J179" s="12">
        <v>686</v>
      </c>
      <c r="K179" s="12">
        <v>3429</v>
      </c>
      <c r="L179" s="14"/>
      <c r="M179" s="12">
        <v>6857.5749999999971</v>
      </c>
      <c r="N179" s="12">
        <v>12344</v>
      </c>
      <c r="O179" s="12"/>
      <c r="P179" s="12">
        <v>57603.174999999974</v>
      </c>
      <c r="Q179" s="133" t="s">
        <v>418</v>
      </c>
      <c r="R179" s="14" t="s">
        <v>360</v>
      </c>
      <c r="S179" s="37">
        <v>300000</v>
      </c>
      <c r="T179" s="26">
        <f t="shared" si="36"/>
        <v>297000</v>
      </c>
      <c r="U179" s="14" t="s">
        <v>174</v>
      </c>
      <c r="V179" s="14"/>
    </row>
    <row r="180" spans="1:77" ht="30" customHeight="1" x14ac:dyDescent="0.25">
      <c r="A180" s="17"/>
      <c r="B180" s="31"/>
      <c r="C180" s="22">
        <v>45170</v>
      </c>
      <c r="D180" s="32" t="s">
        <v>440</v>
      </c>
      <c r="E180" s="12">
        <f>3150000*15%</f>
        <v>472500</v>
      </c>
      <c r="F180" s="12">
        <v>215985</v>
      </c>
      <c r="G180" s="108">
        <f>E180-F180</f>
        <v>256515</v>
      </c>
      <c r="H180" s="12">
        <f>ROUND(G180*18%,)</f>
        <v>46173</v>
      </c>
      <c r="I180" s="12">
        <f>G180+H180</f>
        <v>302688</v>
      </c>
      <c r="J180" s="12">
        <f>ROUND(G180*1%,)</f>
        <v>2565</v>
      </c>
      <c r="K180" s="12">
        <f>ROUND(G180*5%,)</f>
        <v>12826</v>
      </c>
      <c r="L180" s="14"/>
      <c r="M180" s="12">
        <f>G180*10%</f>
        <v>25651.5</v>
      </c>
      <c r="N180" s="12">
        <f>H180</f>
        <v>46173</v>
      </c>
      <c r="O180" s="12">
        <v>75415</v>
      </c>
      <c r="P180" s="12">
        <f>G180-J180-K180-O180-M180</f>
        <v>140057.5</v>
      </c>
      <c r="Q180" s="135" t="s">
        <v>457</v>
      </c>
      <c r="R180" s="14" t="s">
        <v>361</v>
      </c>
      <c r="S180" s="37">
        <v>250000</v>
      </c>
      <c r="T180" s="26">
        <f t="shared" si="36"/>
        <v>247500</v>
      </c>
      <c r="U180" s="14" t="s">
        <v>173</v>
      </c>
      <c r="V180" s="14"/>
    </row>
    <row r="181" spans="1:77" ht="30" customHeight="1" x14ac:dyDescent="0.25">
      <c r="A181" s="17"/>
      <c r="B181" s="31" t="s">
        <v>114</v>
      </c>
      <c r="C181" s="22"/>
      <c r="D181" s="32">
        <v>21</v>
      </c>
      <c r="E181" s="12">
        <f>N177</f>
        <v>19041</v>
      </c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>
        <f>E181</f>
        <v>19041</v>
      </c>
      <c r="Q181" s="132"/>
      <c r="R181" s="14" t="s">
        <v>362</v>
      </c>
      <c r="S181" s="37">
        <v>500000</v>
      </c>
      <c r="T181" s="61">
        <f t="shared" si="36"/>
        <v>495000</v>
      </c>
      <c r="U181" s="14" t="s">
        <v>358</v>
      </c>
      <c r="V181" s="14"/>
    </row>
    <row r="182" spans="1:77" ht="30" customHeight="1" x14ac:dyDescent="0.25">
      <c r="A182" s="17"/>
      <c r="B182" s="31" t="s">
        <v>114</v>
      </c>
      <c r="C182" s="22"/>
      <c r="D182" s="32">
        <v>25</v>
      </c>
      <c r="E182" s="12">
        <f>N178</f>
        <v>42597</v>
      </c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>
        <f>E182</f>
        <v>42597</v>
      </c>
      <c r="Q182" s="132"/>
      <c r="R182" s="14"/>
      <c r="S182" s="37"/>
      <c r="T182" s="61"/>
      <c r="U182" s="14"/>
      <c r="V182" s="14"/>
    </row>
    <row r="183" spans="1:77" ht="30" customHeight="1" x14ac:dyDescent="0.25">
      <c r="A183" s="17"/>
      <c r="B183" s="31"/>
      <c r="C183" s="22">
        <v>45296</v>
      </c>
      <c r="D183" s="32">
        <v>154</v>
      </c>
      <c r="E183" s="12">
        <f>3150000*15%</f>
        <v>472500</v>
      </c>
      <c r="F183" s="12">
        <v>96789</v>
      </c>
      <c r="G183" s="12">
        <f>E183-F183</f>
        <v>375711</v>
      </c>
      <c r="H183" s="12">
        <f>ROUND(G183*18%,)</f>
        <v>67628</v>
      </c>
      <c r="I183" s="12">
        <f>G183+H183</f>
        <v>443339</v>
      </c>
      <c r="J183" s="12">
        <f>ROUND(G183*1%,)</f>
        <v>3757</v>
      </c>
      <c r="K183" s="12">
        <f>ROUND(G183*5%,)</f>
        <v>18786</v>
      </c>
      <c r="L183" s="14"/>
      <c r="M183" s="12">
        <f>G183*10%</f>
        <v>37571.1</v>
      </c>
      <c r="N183" s="12">
        <f>H183</f>
        <v>67628</v>
      </c>
      <c r="O183" s="12"/>
      <c r="P183" s="12">
        <f>G183-J183-K183-O183-M183</f>
        <v>315596.90000000002</v>
      </c>
      <c r="Q183" s="132"/>
      <c r="R183" s="14"/>
      <c r="S183" s="37"/>
      <c r="T183" s="61"/>
      <c r="U183" s="14"/>
      <c r="V183" s="14"/>
    </row>
    <row r="184" spans="1:77" ht="30" customHeight="1" x14ac:dyDescent="0.25">
      <c r="A184" s="17"/>
      <c r="B184" s="31"/>
      <c r="C184" s="22">
        <v>45325</v>
      </c>
      <c r="D184" s="32">
        <v>183</v>
      </c>
      <c r="E184" s="12">
        <f>3150000*15%</f>
        <v>472500</v>
      </c>
      <c r="F184" s="12">
        <v>0</v>
      </c>
      <c r="G184" s="12">
        <f>E184-F184</f>
        <v>472500</v>
      </c>
      <c r="H184" s="12">
        <f>ROUND(G184*18%,)</f>
        <v>85050</v>
      </c>
      <c r="I184" s="12">
        <f>G184+H184</f>
        <v>557550</v>
      </c>
      <c r="J184" s="12">
        <f>ROUND(G184*1%,)</f>
        <v>4725</v>
      </c>
      <c r="K184" s="12">
        <f>ROUND(G184*5%,)</f>
        <v>23625</v>
      </c>
      <c r="L184" s="14"/>
      <c r="M184" s="12"/>
      <c r="N184" s="12">
        <f>H184</f>
        <v>85050</v>
      </c>
      <c r="O184" s="12"/>
      <c r="P184" s="12">
        <f>G184-J184-K184-O184-M184</f>
        <v>444150</v>
      </c>
      <c r="Q184" s="132"/>
      <c r="R184" s="14"/>
      <c r="S184" s="37"/>
      <c r="T184" s="61"/>
      <c r="U184" s="14"/>
      <c r="V184" s="38">
        <f>SUM(P177:P184)-SUM(T177:T184)</f>
        <v>-524808.79999999981</v>
      </c>
    </row>
    <row r="185" spans="1:77" s="29" customFormat="1" ht="30" customHeight="1" x14ac:dyDescent="0.25">
      <c r="A185" s="24">
        <v>58889</v>
      </c>
      <c r="B185" s="16"/>
      <c r="C185" s="20"/>
      <c r="D185" s="34"/>
      <c r="E185" s="16"/>
      <c r="F185" s="16"/>
      <c r="G185" s="16"/>
      <c r="H185" s="16"/>
      <c r="I185" s="16"/>
      <c r="J185" s="16"/>
      <c r="K185" s="16"/>
      <c r="L185" s="16"/>
      <c r="M185" s="16"/>
      <c r="N185" s="39"/>
      <c r="O185" s="39"/>
      <c r="P185" s="16"/>
      <c r="Q185" s="73">
        <f>A185</f>
        <v>58889</v>
      </c>
      <c r="R185" s="15"/>
      <c r="S185" s="40"/>
      <c r="T185" s="113"/>
      <c r="U185" s="15"/>
      <c r="V185" s="15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</row>
    <row r="186" spans="1:77" ht="30" customHeight="1" x14ac:dyDescent="0.25">
      <c r="A186" s="17">
        <v>3150000</v>
      </c>
      <c r="B186" s="31" t="s">
        <v>346</v>
      </c>
      <c r="C186" s="22">
        <v>45159</v>
      </c>
      <c r="D186" s="32" t="s">
        <v>420</v>
      </c>
      <c r="E186" s="12">
        <f>3150000*25%</f>
        <v>787500</v>
      </c>
      <c r="F186" s="12">
        <v>79800</v>
      </c>
      <c r="G186" s="12">
        <f>E186-F186</f>
        <v>707700</v>
      </c>
      <c r="H186" s="12">
        <f>ROUND(G186*18%,)</f>
        <v>127386</v>
      </c>
      <c r="I186" s="12">
        <f>G186+H186</f>
        <v>835086</v>
      </c>
      <c r="J186" s="37">
        <f>G186*1%</f>
        <v>7077</v>
      </c>
      <c r="K186" s="37">
        <f>G186*5%</f>
        <v>35385</v>
      </c>
      <c r="L186" s="14"/>
      <c r="M186" s="12">
        <f>G186*10%</f>
        <v>70770</v>
      </c>
      <c r="N186" s="12">
        <f>H186</f>
        <v>127386</v>
      </c>
      <c r="O186" s="12"/>
      <c r="P186" s="12">
        <f>I186-SUM(J186:N186)</f>
        <v>594468</v>
      </c>
      <c r="Q186" s="126" t="s">
        <v>418</v>
      </c>
      <c r="R186" s="14" t="s">
        <v>137</v>
      </c>
      <c r="S186" s="37">
        <v>200000</v>
      </c>
      <c r="T186" s="26">
        <f>S186-1%*S186</f>
        <v>198000</v>
      </c>
      <c r="U186" s="35" t="s">
        <v>136</v>
      </c>
      <c r="V186" s="14"/>
    </row>
    <row r="187" spans="1:77" ht="30" customHeight="1" x14ac:dyDescent="0.25">
      <c r="A187" s="17"/>
      <c r="B187" s="31"/>
      <c r="C187" s="22">
        <v>45171</v>
      </c>
      <c r="D187" s="32" t="s">
        <v>437</v>
      </c>
      <c r="E187" s="12">
        <v>472500</v>
      </c>
      <c r="F187" s="12">
        <v>159797</v>
      </c>
      <c r="G187" s="12">
        <f>E187-F187</f>
        <v>312703</v>
      </c>
      <c r="H187" s="12">
        <f>ROUND(G187*18%,)</f>
        <v>56287</v>
      </c>
      <c r="I187" s="12">
        <f>G187+H187</f>
        <v>368990</v>
      </c>
      <c r="J187" s="37">
        <f>G187*1%</f>
        <v>3127.03</v>
      </c>
      <c r="K187" s="37">
        <f>G187*5%</f>
        <v>15635.150000000001</v>
      </c>
      <c r="L187" s="14"/>
      <c r="M187" s="12">
        <f>G187*10%</f>
        <v>31270.300000000003</v>
      </c>
      <c r="N187" s="12">
        <f>H187</f>
        <v>56287</v>
      </c>
      <c r="O187" s="12">
        <v>63000</v>
      </c>
      <c r="P187" s="12">
        <f>I187-SUM(J187:O187)</f>
        <v>199670.52</v>
      </c>
      <c r="Q187" s="127" t="s">
        <v>421</v>
      </c>
      <c r="R187" s="14" t="s">
        <v>168</v>
      </c>
      <c r="S187" s="37">
        <v>300000</v>
      </c>
      <c r="T187" s="26">
        <f>S187-1%*S187</f>
        <v>297000</v>
      </c>
      <c r="U187" s="35" t="s">
        <v>167</v>
      </c>
      <c r="V187" s="14"/>
    </row>
    <row r="188" spans="1:77" ht="30" customHeight="1" x14ac:dyDescent="0.25">
      <c r="A188" s="17"/>
      <c r="B188" s="31"/>
      <c r="C188" s="22"/>
      <c r="D188" s="32"/>
      <c r="E188" s="12"/>
      <c r="F188" s="12"/>
      <c r="G188" s="12"/>
      <c r="H188" s="12"/>
      <c r="I188" s="12"/>
      <c r="J188" s="12"/>
      <c r="K188" s="12"/>
      <c r="L188" s="12"/>
      <c r="M188" s="12"/>
      <c r="N188" s="38"/>
      <c r="O188" s="38"/>
      <c r="P188" s="12"/>
      <c r="Q188" s="128"/>
      <c r="R188" s="14" t="s">
        <v>176</v>
      </c>
      <c r="S188" s="37">
        <v>300000</v>
      </c>
      <c r="T188" s="26">
        <f>S188-1%*S188</f>
        <v>297000</v>
      </c>
      <c r="U188" s="35" t="s">
        <v>175</v>
      </c>
      <c r="V188" s="14"/>
    </row>
    <row r="189" spans="1:77" ht="30" customHeight="1" x14ac:dyDescent="0.25">
      <c r="A189" s="17"/>
      <c r="B189" s="31"/>
      <c r="C189" s="22"/>
      <c r="D189" s="32"/>
      <c r="E189" s="12"/>
      <c r="F189" s="12"/>
      <c r="G189" s="12"/>
      <c r="H189" s="12"/>
      <c r="I189" s="12"/>
      <c r="J189" s="12"/>
      <c r="K189" s="12"/>
      <c r="L189" s="12"/>
      <c r="M189" s="12"/>
      <c r="N189" s="38"/>
      <c r="O189" s="38"/>
      <c r="P189" s="12"/>
      <c r="Q189" s="128"/>
      <c r="R189" s="14"/>
      <c r="S189" s="37"/>
      <c r="T189" s="26"/>
      <c r="U189" s="35"/>
      <c r="V189" s="38">
        <f>SUM(P186:P189)-SUM(T186:T189)</f>
        <v>2138.5200000000186</v>
      </c>
    </row>
    <row r="190" spans="1:77" s="29" customFormat="1" ht="30" customHeight="1" x14ac:dyDescent="0.25">
      <c r="A190" s="24">
        <v>58890</v>
      </c>
      <c r="B190" s="16"/>
      <c r="C190" s="20"/>
      <c r="D190" s="34"/>
      <c r="E190" s="16"/>
      <c r="F190" s="16"/>
      <c r="G190" s="16"/>
      <c r="H190" s="16"/>
      <c r="I190" s="16"/>
      <c r="J190" s="16"/>
      <c r="K190" s="16"/>
      <c r="L190" s="16"/>
      <c r="M190" s="16"/>
      <c r="N190" s="39"/>
      <c r="O190" s="39"/>
      <c r="P190" s="16"/>
      <c r="Q190" s="73">
        <f>A190</f>
        <v>58890</v>
      </c>
      <c r="R190" s="15"/>
      <c r="S190" s="40"/>
      <c r="T190" s="113"/>
      <c r="U190" s="15"/>
      <c r="V190" s="15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</row>
    <row r="191" spans="1:77" ht="30" customHeight="1" x14ac:dyDescent="0.25">
      <c r="A191" s="17">
        <v>3330000</v>
      </c>
      <c r="B191" s="31" t="s">
        <v>323</v>
      </c>
      <c r="C191" s="22">
        <v>45159</v>
      </c>
      <c r="D191" s="32" t="s">
        <v>417</v>
      </c>
      <c r="E191" s="12">
        <f>3330000*25%</f>
        <v>832500</v>
      </c>
      <c r="F191" s="12">
        <v>0</v>
      </c>
      <c r="G191" s="12">
        <f>E191-F191</f>
        <v>832500</v>
      </c>
      <c r="H191" s="12">
        <f>ROUND(G191*18%,)</f>
        <v>149850</v>
      </c>
      <c r="I191" s="12">
        <f>G191+H191</f>
        <v>982350</v>
      </c>
      <c r="J191" s="37">
        <f>G191*1%</f>
        <v>8325</v>
      </c>
      <c r="K191" s="37">
        <f>G191*5%</f>
        <v>41625</v>
      </c>
      <c r="L191" s="14"/>
      <c r="M191" s="12">
        <f>G191*10%</f>
        <v>83250</v>
      </c>
      <c r="N191" s="12">
        <f>H191</f>
        <v>149850</v>
      </c>
      <c r="O191" s="12"/>
      <c r="P191" s="12">
        <f>I191-SUM(J191:N191)</f>
        <v>699300</v>
      </c>
      <c r="Q191" s="126" t="s">
        <v>418</v>
      </c>
      <c r="R191" s="14" t="s">
        <v>162</v>
      </c>
      <c r="S191" s="37">
        <v>300000</v>
      </c>
      <c r="T191" s="26">
        <f>S191-1%*S191</f>
        <v>297000</v>
      </c>
      <c r="U191" s="14" t="s">
        <v>157</v>
      </c>
      <c r="V191" s="14"/>
    </row>
    <row r="192" spans="1:77" s="25" customFormat="1" ht="30" customHeight="1" x14ac:dyDescent="0.25">
      <c r="A192" s="17"/>
      <c r="B192" s="31"/>
      <c r="C192" s="22">
        <v>45194</v>
      </c>
      <c r="D192" s="32" t="s">
        <v>436</v>
      </c>
      <c r="E192" s="12">
        <f>3330000*15%</f>
        <v>499500</v>
      </c>
      <c r="F192" s="12">
        <v>185675.82</v>
      </c>
      <c r="G192" s="12">
        <f>E192-F192</f>
        <v>313824.18</v>
      </c>
      <c r="H192" s="12">
        <f>ROUND(G192*18%,)</f>
        <v>56488</v>
      </c>
      <c r="I192" s="12">
        <f>G192+H192</f>
        <v>370312.18</v>
      </c>
      <c r="J192" s="12">
        <f>G192*[1]Sheet1!$J$5</f>
        <v>3138.2417999999998</v>
      </c>
      <c r="K192" s="12">
        <f>G192*5%</f>
        <v>15691.209000000001</v>
      </c>
      <c r="L192" s="14"/>
      <c r="M192" s="12">
        <f>G192*10%</f>
        <v>31382.418000000001</v>
      </c>
      <c r="N192" s="12">
        <f>H192</f>
        <v>56488</v>
      </c>
      <c r="O192" s="12">
        <v>92264</v>
      </c>
      <c r="P192" s="12">
        <f>ROUND(I192-SUM(J192:O192),)</f>
        <v>171348</v>
      </c>
      <c r="Q192" s="127" t="s">
        <v>421</v>
      </c>
      <c r="R192" s="14" t="s">
        <v>178</v>
      </c>
      <c r="S192" s="37">
        <v>200000</v>
      </c>
      <c r="T192" s="26">
        <f t="shared" ref="T192:T196" si="37">S192-1%*S192</f>
        <v>198000</v>
      </c>
      <c r="U192" s="14" t="s">
        <v>158</v>
      </c>
      <c r="V192" s="76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</row>
    <row r="193" spans="1:77" ht="30" customHeight="1" x14ac:dyDescent="0.25">
      <c r="A193" s="17"/>
      <c r="B193" s="31"/>
      <c r="C193" s="22">
        <v>45325</v>
      </c>
      <c r="D193" s="32">
        <v>182</v>
      </c>
      <c r="E193" s="12">
        <f>3330000*15%</f>
        <v>499500</v>
      </c>
      <c r="F193" s="12">
        <v>0</v>
      </c>
      <c r="G193" s="12">
        <f>E193-F193</f>
        <v>499500</v>
      </c>
      <c r="H193" s="12">
        <f>ROUND(G193*18%,)</f>
        <v>89910</v>
      </c>
      <c r="I193" s="12">
        <f>G193+H193</f>
        <v>589410</v>
      </c>
      <c r="J193" s="12">
        <f>G193*[1]Sheet1!$J$5</f>
        <v>4995</v>
      </c>
      <c r="K193" s="12">
        <f>G193*5%</f>
        <v>24975</v>
      </c>
      <c r="L193" s="14"/>
      <c r="M193" s="12">
        <v>0</v>
      </c>
      <c r="N193" s="12">
        <f>H193</f>
        <v>89910</v>
      </c>
      <c r="O193" s="12">
        <v>0</v>
      </c>
      <c r="P193" s="12">
        <f>ROUND(I193-SUM(J193:O193),)</f>
        <v>469530</v>
      </c>
      <c r="Q193" s="132"/>
      <c r="R193" s="14" t="s">
        <v>179</v>
      </c>
      <c r="S193" s="37">
        <v>300000</v>
      </c>
      <c r="T193" s="26">
        <f t="shared" si="37"/>
        <v>297000</v>
      </c>
      <c r="U193" s="14" t="s">
        <v>177</v>
      </c>
      <c r="V193" s="14"/>
    </row>
    <row r="194" spans="1:77" ht="30" customHeight="1" x14ac:dyDescent="0.25">
      <c r="A194" s="17"/>
      <c r="B194" s="31"/>
      <c r="C194" s="22"/>
      <c r="D194" s="32"/>
      <c r="E194" s="12"/>
      <c r="F194" s="12"/>
      <c r="G194" s="12"/>
      <c r="H194" s="12"/>
      <c r="I194" s="12"/>
      <c r="J194" s="12"/>
      <c r="K194" s="12"/>
      <c r="L194" s="12"/>
      <c r="M194" s="12"/>
      <c r="N194" s="38"/>
      <c r="O194" s="38"/>
      <c r="P194" s="12"/>
      <c r="Q194" s="132"/>
      <c r="R194" s="14" t="s">
        <v>183</v>
      </c>
      <c r="S194" s="37">
        <v>250000</v>
      </c>
      <c r="T194" s="26">
        <f t="shared" si="37"/>
        <v>247500</v>
      </c>
      <c r="U194" s="14" t="s">
        <v>182</v>
      </c>
      <c r="V194" s="38"/>
    </row>
    <row r="195" spans="1:77" ht="30" customHeight="1" x14ac:dyDescent="0.25">
      <c r="A195" s="17"/>
      <c r="B195" s="31"/>
      <c r="C195" s="22"/>
      <c r="D195" s="32"/>
      <c r="E195" s="12"/>
      <c r="F195" s="12"/>
      <c r="G195" s="12"/>
      <c r="H195" s="12"/>
      <c r="I195" s="12"/>
      <c r="J195" s="12"/>
      <c r="K195" s="12"/>
      <c r="L195" s="12"/>
      <c r="M195" s="12"/>
      <c r="N195" s="38"/>
      <c r="O195" s="38"/>
      <c r="P195" s="12"/>
      <c r="Q195" s="132"/>
      <c r="R195" s="14" t="s">
        <v>354</v>
      </c>
      <c r="S195" s="37">
        <v>100000</v>
      </c>
      <c r="T195" s="26">
        <f t="shared" si="37"/>
        <v>99000</v>
      </c>
      <c r="U195" s="14" t="s">
        <v>322</v>
      </c>
      <c r="V195" s="38"/>
    </row>
    <row r="196" spans="1:77" ht="30" customHeight="1" x14ac:dyDescent="0.25">
      <c r="A196" s="17"/>
      <c r="B196" s="31"/>
      <c r="C196" s="22"/>
      <c r="D196" s="32"/>
      <c r="E196" s="12"/>
      <c r="F196" s="12"/>
      <c r="G196" s="12"/>
      <c r="H196" s="12"/>
      <c r="I196" s="12"/>
      <c r="J196" s="12"/>
      <c r="K196" s="12"/>
      <c r="L196" s="12"/>
      <c r="M196" s="12"/>
      <c r="N196" s="38"/>
      <c r="O196" s="38"/>
      <c r="P196" s="12"/>
      <c r="Q196" s="132"/>
      <c r="R196" s="14" t="s">
        <v>355</v>
      </c>
      <c r="S196" s="37">
        <v>500000</v>
      </c>
      <c r="T196" s="26">
        <f t="shared" si="37"/>
        <v>495000</v>
      </c>
      <c r="U196" s="14" t="s">
        <v>353</v>
      </c>
      <c r="V196" s="38">
        <f>SUM(P191:P196)-SUM(T191:T196)</f>
        <v>-293322</v>
      </c>
    </row>
    <row r="197" spans="1:77" s="29" customFormat="1" ht="30" customHeight="1" x14ac:dyDescent="0.25">
      <c r="A197" s="24">
        <v>59049</v>
      </c>
      <c r="B197" s="33"/>
      <c r="C197" s="20"/>
      <c r="D197" s="34"/>
      <c r="E197" s="16"/>
      <c r="F197" s="16"/>
      <c r="G197" s="16"/>
      <c r="H197" s="16"/>
      <c r="I197" s="16"/>
      <c r="J197" s="40"/>
      <c r="K197" s="40"/>
      <c r="L197" s="15"/>
      <c r="M197" s="16"/>
      <c r="N197" s="16"/>
      <c r="O197" s="16"/>
      <c r="P197" s="16"/>
      <c r="Q197" s="73">
        <f>A197</f>
        <v>59049</v>
      </c>
      <c r="R197" s="15"/>
      <c r="S197" s="40"/>
      <c r="T197" s="113"/>
      <c r="U197" s="15"/>
      <c r="V197" s="15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</row>
    <row r="198" spans="1:77" ht="30" customHeight="1" x14ac:dyDescent="0.25">
      <c r="A198" s="17">
        <v>2475000</v>
      </c>
      <c r="B198" s="31" t="s">
        <v>321</v>
      </c>
      <c r="C198" s="22">
        <v>45170</v>
      </c>
      <c r="D198" s="32" t="s">
        <v>447</v>
      </c>
      <c r="E198" s="12">
        <f>2475000*20%</f>
        <v>495000</v>
      </c>
      <c r="F198" s="12">
        <v>209096</v>
      </c>
      <c r="G198" s="12">
        <f>E198-F198</f>
        <v>285904</v>
      </c>
      <c r="H198" s="12">
        <f>ROUND(G198*18%,)</f>
        <v>51463</v>
      </c>
      <c r="I198" s="12">
        <f>G198+H198</f>
        <v>337367</v>
      </c>
      <c r="J198" s="37">
        <f>G198*1%</f>
        <v>2859.04</v>
      </c>
      <c r="K198" s="37">
        <f>G198*5%</f>
        <v>14295.2</v>
      </c>
      <c r="L198" s="12"/>
      <c r="M198" s="12">
        <f>G198*10%</f>
        <v>28590.400000000001</v>
      </c>
      <c r="N198" s="12">
        <f>H198</f>
        <v>51463</v>
      </c>
      <c r="O198" s="14"/>
      <c r="P198" s="12">
        <f>I198-SUM(J198:N198)</f>
        <v>240159.35999999999</v>
      </c>
      <c r="Q198" s="128"/>
      <c r="R198" s="14" t="s">
        <v>170</v>
      </c>
      <c r="S198" s="37">
        <v>500000</v>
      </c>
      <c r="T198" s="26">
        <f>S198-1%*S198</f>
        <v>495000</v>
      </c>
      <c r="U198" s="14" t="s">
        <v>169</v>
      </c>
      <c r="V198" s="14"/>
    </row>
    <row r="199" spans="1:77" ht="30" customHeight="1" x14ac:dyDescent="0.25">
      <c r="A199" s="17"/>
      <c r="B199" s="31"/>
      <c r="C199" s="22">
        <v>45215</v>
      </c>
      <c r="D199" s="32" t="s">
        <v>433</v>
      </c>
      <c r="E199" s="12">
        <v>371250</v>
      </c>
      <c r="F199" s="12">
        <v>162287</v>
      </c>
      <c r="G199" s="12">
        <f>E199-F199</f>
        <v>208963</v>
      </c>
      <c r="H199" s="12">
        <f>ROUND(G199*18%,)</f>
        <v>37613</v>
      </c>
      <c r="I199" s="12">
        <f>G199+H199</f>
        <v>246576</v>
      </c>
      <c r="J199" s="37">
        <f>G199*1%</f>
        <v>2089.63</v>
      </c>
      <c r="K199" s="37">
        <f>G199*5%</f>
        <v>10448.150000000001</v>
      </c>
      <c r="L199" s="12"/>
      <c r="M199" s="12">
        <f>G199*10%</f>
        <v>20896.300000000003</v>
      </c>
      <c r="N199" s="12">
        <f>H199</f>
        <v>37613</v>
      </c>
      <c r="O199" s="14"/>
      <c r="P199" s="12">
        <f>I199-SUM(J199:N199)</f>
        <v>175528.91999999998</v>
      </c>
      <c r="Q199" s="127" t="s">
        <v>421</v>
      </c>
      <c r="R199" s="14" t="s">
        <v>348</v>
      </c>
      <c r="S199" s="37">
        <v>300000</v>
      </c>
      <c r="T199" s="61">
        <v>297000</v>
      </c>
      <c r="U199" s="14" t="s">
        <v>347</v>
      </c>
      <c r="V199" s="14"/>
    </row>
    <row r="200" spans="1:77" ht="30" customHeight="1" x14ac:dyDescent="0.25">
      <c r="A200" s="17"/>
      <c r="B200" s="31"/>
      <c r="C200" s="22"/>
      <c r="D200" s="32"/>
      <c r="E200" s="12"/>
      <c r="F200" s="12"/>
      <c r="G200" s="12"/>
      <c r="H200" s="12"/>
      <c r="I200" s="12"/>
      <c r="J200" s="12"/>
      <c r="K200" s="12"/>
      <c r="L200" s="12"/>
      <c r="M200" s="12"/>
      <c r="N200" s="38"/>
      <c r="O200" s="38"/>
      <c r="P200" s="12"/>
      <c r="Q200" s="128"/>
      <c r="R200" s="14"/>
      <c r="S200" s="37"/>
      <c r="T200" s="61"/>
      <c r="U200" s="14"/>
      <c r="V200" s="14"/>
    </row>
    <row r="201" spans="1:77" ht="30" customHeight="1" x14ac:dyDescent="0.25">
      <c r="A201" s="17"/>
      <c r="B201" s="31"/>
      <c r="C201" s="22"/>
      <c r="D201" s="32"/>
      <c r="E201" s="12"/>
      <c r="F201" s="12"/>
      <c r="G201" s="12"/>
      <c r="H201" s="12"/>
      <c r="I201" s="12"/>
      <c r="J201" s="12"/>
      <c r="K201" s="12"/>
      <c r="L201" s="12"/>
      <c r="M201" s="12"/>
      <c r="N201" s="38"/>
      <c r="O201" s="38"/>
      <c r="P201" s="12"/>
      <c r="Q201" s="128"/>
      <c r="R201" s="14"/>
      <c r="S201" s="37"/>
      <c r="T201" s="61"/>
      <c r="U201" s="14"/>
      <c r="V201" s="38">
        <f>SUM(P198:P201)-SUM(T198:T201)</f>
        <v>-376311.72000000003</v>
      </c>
    </row>
    <row r="202" spans="1:77" s="29" customFormat="1" ht="30" customHeight="1" x14ac:dyDescent="0.25">
      <c r="A202" s="24">
        <v>59050</v>
      </c>
      <c r="B202" s="33"/>
      <c r="C202" s="20"/>
      <c r="D202" s="34"/>
      <c r="E202" s="16"/>
      <c r="F202" s="16"/>
      <c r="G202" s="16"/>
      <c r="H202" s="16"/>
      <c r="I202" s="16"/>
      <c r="J202" s="40"/>
      <c r="K202" s="40"/>
      <c r="L202" s="16"/>
      <c r="M202" s="16"/>
      <c r="N202" s="15"/>
      <c r="O202" s="15"/>
      <c r="P202" s="16"/>
      <c r="Q202" s="73">
        <f>A202</f>
        <v>59050</v>
      </c>
      <c r="R202" s="15"/>
      <c r="S202" s="40"/>
      <c r="T202" s="113"/>
      <c r="U202" s="15"/>
      <c r="V202" s="15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</row>
    <row r="203" spans="1:77" ht="30" customHeight="1" x14ac:dyDescent="0.25">
      <c r="A203" s="17">
        <v>2850000</v>
      </c>
      <c r="B203" s="31" t="s">
        <v>320</v>
      </c>
      <c r="C203" s="22">
        <v>45170</v>
      </c>
      <c r="D203" s="32" t="s">
        <v>422</v>
      </c>
      <c r="E203" s="12">
        <f>2850000*25%</f>
        <v>712500</v>
      </c>
      <c r="F203" s="12">
        <v>204699.87</v>
      </c>
      <c r="G203" s="12">
        <f>E203-F203</f>
        <v>507800.13</v>
      </c>
      <c r="H203" s="12">
        <f>ROUND(G203*18%,)</f>
        <v>91404</v>
      </c>
      <c r="I203" s="12">
        <f>G203+H203</f>
        <v>599204.13</v>
      </c>
      <c r="J203" s="12">
        <f>ROUND(G203*$J$5,)</f>
        <v>5078</v>
      </c>
      <c r="K203" s="12">
        <f>ROUND(G203*$K$5,)</f>
        <v>25390</v>
      </c>
      <c r="L203" s="14"/>
      <c r="M203" s="12">
        <f>G203*10%</f>
        <v>50780.013000000006</v>
      </c>
      <c r="N203" s="12">
        <f>H203</f>
        <v>91404</v>
      </c>
      <c r="O203" s="12"/>
      <c r="P203" s="12">
        <f>I203-SUM(J203:N203)</f>
        <v>426552.11699999997</v>
      </c>
      <c r="Q203" s="127" t="s">
        <v>421</v>
      </c>
      <c r="R203" s="12" t="s">
        <v>206</v>
      </c>
      <c r="S203" s="37">
        <v>400000</v>
      </c>
      <c r="T203" s="26">
        <f t="shared" ref="T203" si="38">S203-1%*S203</f>
        <v>396000</v>
      </c>
      <c r="U203" s="14" t="s">
        <v>207</v>
      </c>
      <c r="V203" s="14"/>
    </row>
    <row r="204" spans="1:77" ht="30" customHeight="1" x14ac:dyDescent="0.25">
      <c r="A204" s="17"/>
      <c r="B204" s="31"/>
      <c r="C204" s="22"/>
      <c r="D204" s="32"/>
      <c r="E204" s="12"/>
      <c r="F204" s="12"/>
      <c r="G204" s="12"/>
      <c r="H204" s="12"/>
      <c r="I204" s="12"/>
      <c r="J204" s="12"/>
      <c r="K204" s="12"/>
      <c r="L204" s="12"/>
      <c r="M204" s="12"/>
      <c r="N204" s="38"/>
      <c r="O204" s="38"/>
      <c r="P204" s="12"/>
      <c r="Q204" s="128"/>
      <c r="R204" s="12" t="s">
        <v>357</v>
      </c>
      <c r="S204" s="37">
        <v>500000</v>
      </c>
      <c r="T204" s="26">
        <f t="shared" ref="T204" si="39">S204-1%*S204</f>
        <v>495000</v>
      </c>
      <c r="U204" s="14" t="s">
        <v>356</v>
      </c>
      <c r="V204" s="38">
        <f>SUM(P203:P204)-SUM(T203:T204)</f>
        <v>-464447.88300000003</v>
      </c>
    </row>
    <row r="205" spans="1:77" s="29" customFormat="1" ht="30" customHeight="1" x14ac:dyDescent="0.25">
      <c r="A205" s="24">
        <v>59328</v>
      </c>
      <c r="B205" s="33"/>
      <c r="C205" s="20"/>
      <c r="D205" s="34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73">
        <f>A205</f>
        <v>59328</v>
      </c>
      <c r="R205" s="15"/>
      <c r="S205" s="40"/>
      <c r="T205" s="113"/>
      <c r="U205" s="15"/>
      <c r="V205" s="15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</row>
    <row r="206" spans="1:77" ht="30" customHeight="1" x14ac:dyDescent="0.25">
      <c r="A206" s="17">
        <v>2475000</v>
      </c>
      <c r="B206" s="31" t="s">
        <v>318</v>
      </c>
      <c r="C206" s="22">
        <v>45185</v>
      </c>
      <c r="D206" s="32">
        <v>92</v>
      </c>
      <c r="E206" s="12">
        <f>2475000*15%</f>
        <v>371250</v>
      </c>
      <c r="F206" s="12">
        <v>140309</v>
      </c>
      <c r="G206" s="12">
        <f>E206-F206</f>
        <v>230941</v>
      </c>
      <c r="H206" s="12">
        <f>ROUND(G206*18%,)</f>
        <v>41569</v>
      </c>
      <c r="I206" s="12">
        <f>G206+H206</f>
        <v>272510</v>
      </c>
      <c r="J206" s="12">
        <f>ROUND(G206*$J$5,)</f>
        <v>2309</v>
      </c>
      <c r="K206" s="12">
        <f>ROUND(G206*$K$5,)</f>
        <v>11547</v>
      </c>
      <c r="L206" s="12">
        <f>ROUND(G206*$L$7,)</f>
        <v>0</v>
      </c>
      <c r="M206" s="12">
        <f>ROUND(G206*$M$5,)</f>
        <v>23094</v>
      </c>
      <c r="N206" s="12">
        <f>H206</f>
        <v>41569</v>
      </c>
      <c r="O206" s="12">
        <v>49500</v>
      </c>
      <c r="P206" s="12">
        <f>G206-J206-K206-M206-O206</f>
        <v>144491</v>
      </c>
      <c r="Q206" s="127" t="s">
        <v>421</v>
      </c>
      <c r="R206" s="14" t="s">
        <v>170</v>
      </c>
      <c r="S206" s="37">
        <v>200000</v>
      </c>
      <c r="T206" s="26">
        <f>S206-1%*S206</f>
        <v>198000</v>
      </c>
      <c r="U206" s="14" t="s">
        <v>190</v>
      </c>
      <c r="V206" s="14"/>
    </row>
    <row r="207" spans="1:77" ht="30" customHeight="1" x14ac:dyDescent="0.25">
      <c r="A207" s="17"/>
      <c r="B207" s="31"/>
      <c r="C207" s="22">
        <v>45296</v>
      </c>
      <c r="D207" s="32">
        <v>148</v>
      </c>
      <c r="E207" s="12">
        <v>742500</v>
      </c>
      <c r="F207" s="12">
        <v>294273</v>
      </c>
      <c r="G207" s="12">
        <f>E207-F207</f>
        <v>448227</v>
      </c>
      <c r="H207" s="12">
        <f>ROUND(G207*18%,)</f>
        <v>80681</v>
      </c>
      <c r="I207" s="12">
        <f>G207+H207</f>
        <v>528908</v>
      </c>
      <c r="J207" s="12">
        <f>ROUND(G207*$J$5,)</f>
        <v>4482</v>
      </c>
      <c r="K207" s="12">
        <f>ROUND(G207*$K$5,)</f>
        <v>22411</v>
      </c>
      <c r="L207" s="12">
        <f>ROUND(G207*$L$7,)</f>
        <v>0</v>
      </c>
      <c r="M207" s="12">
        <f>ROUND(G207*$M$5,)</f>
        <v>44823</v>
      </c>
      <c r="N207" s="12">
        <f>H207</f>
        <v>80681</v>
      </c>
      <c r="O207" s="12">
        <v>0</v>
      </c>
      <c r="P207" s="12">
        <f>G207-J207-K207-M207-O207</f>
        <v>376511</v>
      </c>
      <c r="Q207" s="128"/>
      <c r="R207" s="14" t="s">
        <v>365</v>
      </c>
      <c r="S207" s="37">
        <v>400000</v>
      </c>
      <c r="T207" s="26">
        <v>396000</v>
      </c>
      <c r="U207" s="14" t="s">
        <v>319</v>
      </c>
      <c r="V207" s="38"/>
    </row>
    <row r="208" spans="1:77" ht="30" customHeight="1" x14ac:dyDescent="0.25">
      <c r="A208" s="17"/>
      <c r="B208" s="31"/>
      <c r="C208" s="22">
        <v>45318</v>
      </c>
      <c r="D208" s="32">
        <v>178</v>
      </c>
      <c r="E208" s="12">
        <v>247500</v>
      </c>
      <c r="F208" s="12">
        <v>108786</v>
      </c>
      <c r="G208" s="12">
        <f>E208-F208</f>
        <v>138714</v>
      </c>
      <c r="H208" s="12">
        <f>ROUND(G208*18%,)</f>
        <v>24969</v>
      </c>
      <c r="I208" s="12">
        <f>G208+H208</f>
        <v>163683</v>
      </c>
      <c r="J208" s="12">
        <f>ROUND(G208*$J$5,)</f>
        <v>1387</v>
      </c>
      <c r="K208" s="12">
        <f>ROUND(G208*$K$5,)</f>
        <v>6936</v>
      </c>
      <c r="L208" s="12">
        <f>ROUND(G208*$L$7,)</f>
        <v>0</v>
      </c>
      <c r="M208" s="12">
        <v>0</v>
      </c>
      <c r="N208" s="12">
        <f>H208</f>
        <v>24969</v>
      </c>
      <c r="O208" s="12">
        <v>123750</v>
      </c>
      <c r="P208" s="12">
        <f>G208-J208-K208-M208-O208</f>
        <v>6641</v>
      </c>
      <c r="Q208" s="128"/>
      <c r="R208" s="14"/>
      <c r="S208" s="37"/>
      <c r="T208" s="26"/>
      <c r="U208" s="14"/>
      <c r="V208" s="38"/>
    </row>
    <row r="209" spans="1:77" ht="30" customHeight="1" x14ac:dyDescent="0.25">
      <c r="A209" s="17"/>
      <c r="B209" s="31"/>
      <c r="C209" s="22"/>
      <c r="D209" s="3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8"/>
      <c r="R209" s="14"/>
      <c r="S209" s="37"/>
      <c r="T209" s="26"/>
      <c r="U209" s="14"/>
      <c r="V209" s="38">
        <f>SUM(P206:P209)-SUM(T206:T209)</f>
        <v>-66357</v>
      </c>
    </row>
    <row r="210" spans="1:77" s="29" customFormat="1" ht="30" customHeight="1" x14ac:dyDescent="0.25">
      <c r="A210" s="24">
        <v>59651</v>
      </c>
      <c r="B210" s="33"/>
      <c r="C210" s="20"/>
      <c r="D210" s="34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73">
        <f>A210</f>
        <v>59651</v>
      </c>
      <c r="R210" s="15"/>
      <c r="S210" s="40"/>
      <c r="T210" s="113"/>
      <c r="U210" s="15"/>
      <c r="V210" s="15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</row>
    <row r="211" spans="1:77" ht="30" customHeight="1" x14ac:dyDescent="0.25">
      <c r="A211" s="17">
        <v>1365000</v>
      </c>
      <c r="B211" s="31" t="s">
        <v>317</v>
      </c>
      <c r="C211" s="22">
        <v>45199</v>
      </c>
      <c r="D211" s="109">
        <v>99</v>
      </c>
      <c r="E211" s="12">
        <f>1365000*25%</f>
        <v>341250</v>
      </c>
      <c r="F211" s="12">
        <v>160896.82999999999</v>
      </c>
      <c r="G211" s="12">
        <f>E211-F211</f>
        <v>180353.17</v>
      </c>
      <c r="H211" s="12">
        <f>ROUND(G211*18%,)</f>
        <v>32464</v>
      </c>
      <c r="I211" s="12">
        <f>G211+H211</f>
        <v>212817.17</v>
      </c>
      <c r="J211" s="12">
        <f>ROUND(G211*$J$5,)</f>
        <v>1804</v>
      </c>
      <c r="K211" s="12">
        <f>ROUND(G211*$K$5,)</f>
        <v>9018</v>
      </c>
      <c r="L211" s="12">
        <f>ROUND(G211*$L$7,)</f>
        <v>0</v>
      </c>
      <c r="M211" s="12">
        <f>ROUND(G211*$M$5,)</f>
        <v>18035</v>
      </c>
      <c r="N211" s="12">
        <f>H211</f>
        <v>32464</v>
      </c>
      <c r="O211" s="41"/>
      <c r="P211" s="12">
        <f>I211-SUM(J211:N211)</f>
        <v>151496.17000000001</v>
      </c>
      <c r="Q211" s="127" t="s">
        <v>421</v>
      </c>
      <c r="R211" s="35" t="s">
        <v>209</v>
      </c>
      <c r="S211" s="37">
        <v>150000</v>
      </c>
      <c r="T211" s="26">
        <f t="shared" ref="T211" si="40">S211-1%*S211</f>
        <v>148500</v>
      </c>
      <c r="U211" s="14" t="s">
        <v>208</v>
      </c>
      <c r="V211" s="14"/>
    </row>
    <row r="212" spans="1:77" ht="30" customHeight="1" x14ac:dyDescent="0.25">
      <c r="A212" s="17"/>
      <c r="B212" s="31"/>
      <c r="C212" s="22"/>
      <c r="D212" s="32"/>
      <c r="E212" s="12"/>
      <c r="F212" s="12"/>
      <c r="G212" s="12"/>
      <c r="H212" s="12"/>
      <c r="I212" s="12"/>
      <c r="J212" s="12"/>
      <c r="K212" s="12"/>
      <c r="L212" s="12"/>
      <c r="M212" s="12"/>
      <c r="N212" s="38"/>
      <c r="O212" s="38"/>
      <c r="P212" s="12"/>
      <c r="Q212" s="128"/>
      <c r="R212" s="35" t="s">
        <v>364</v>
      </c>
      <c r="S212" s="37">
        <v>500000</v>
      </c>
      <c r="T212" s="26">
        <f t="shared" ref="T212" si="41">S212-1%*S212</f>
        <v>495000</v>
      </c>
      <c r="U212" s="14" t="s">
        <v>363</v>
      </c>
      <c r="V212" s="14"/>
    </row>
    <row r="213" spans="1:77" ht="30" customHeight="1" x14ac:dyDescent="0.25">
      <c r="A213" s="17"/>
      <c r="B213" s="31"/>
      <c r="C213" s="22"/>
      <c r="D213" s="32"/>
      <c r="E213" s="12"/>
      <c r="F213" s="12"/>
      <c r="G213" s="12"/>
      <c r="H213" s="12"/>
      <c r="I213" s="12"/>
      <c r="J213" s="12"/>
      <c r="K213" s="12"/>
      <c r="L213" s="12"/>
      <c r="M213" s="12"/>
      <c r="N213" s="38"/>
      <c r="O213" s="38"/>
      <c r="P213" s="12"/>
      <c r="Q213" s="128"/>
      <c r="R213" s="35"/>
      <c r="S213" s="37"/>
      <c r="T213" s="61"/>
      <c r="U213" s="14"/>
      <c r="V213" s="38">
        <f>SUM(P211:P213)-SUM(T211:T213)</f>
        <v>-492003.82999999996</v>
      </c>
    </row>
    <row r="214" spans="1:77" s="29" customFormat="1" ht="30" customHeight="1" x14ac:dyDescent="0.25">
      <c r="A214" s="24">
        <v>59652</v>
      </c>
      <c r="B214" s="33"/>
      <c r="C214" s="20"/>
      <c r="D214" s="34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73">
        <f>A214</f>
        <v>59652</v>
      </c>
      <c r="R214" s="15"/>
      <c r="S214" s="40"/>
      <c r="T214" s="113"/>
      <c r="U214" s="15"/>
      <c r="V214" s="15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</row>
    <row r="215" spans="1:77" ht="30" customHeight="1" x14ac:dyDescent="0.25">
      <c r="A215" s="17">
        <v>3671250</v>
      </c>
      <c r="B215" s="31" t="s">
        <v>316</v>
      </c>
      <c r="C215" s="22">
        <v>45199</v>
      </c>
      <c r="D215" s="32" t="s">
        <v>428</v>
      </c>
      <c r="E215" s="12">
        <f>3671250*5%</f>
        <v>183562.5</v>
      </c>
      <c r="F215" s="12">
        <v>37000</v>
      </c>
      <c r="G215" s="12">
        <f>E215-F215</f>
        <v>146562.5</v>
      </c>
      <c r="H215" s="12">
        <f>ROUND(G215*18%,)</f>
        <v>26381</v>
      </c>
      <c r="I215" s="12">
        <f>G215+H215</f>
        <v>172943.5</v>
      </c>
      <c r="J215" s="12">
        <f>ROUND(G215*$J$5,)</f>
        <v>1466</v>
      </c>
      <c r="K215" s="12">
        <f>ROUND(G215*$K$5,)</f>
        <v>7328</v>
      </c>
      <c r="L215" s="12">
        <f>ROUND(G215*$L$7,)</f>
        <v>0</v>
      </c>
      <c r="M215" s="12">
        <f>ROUND(G215*$M$5,)</f>
        <v>14656</v>
      </c>
      <c r="N215" s="12">
        <f>H215</f>
        <v>26381</v>
      </c>
      <c r="O215" s="41"/>
      <c r="P215" s="12">
        <f>I215-SUM(J215:N215)</f>
        <v>123112.5</v>
      </c>
      <c r="Q215" s="127" t="s">
        <v>421</v>
      </c>
      <c r="R215" s="35" t="s">
        <v>211</v>
      </c>
      <c r="S215" s="37">
        <v>400000</v>
      </c>
      <c r="T215" s="26">
        <f t="shared" ref="T215" si="42">S215-1%*S215</f>
        <v>396000</v>
      </c>
      <c r="U215" s="14" t="s">
        <v>210</v>
      </c>
      <c r="V215" s="14"/>
    </row>
    <row r="216" spans="1:77" ht="30" customHeight="1" x14ac:dyDescent="0.25">
      <c r="A216" s="17"/>
      <c r="B216" s="31"/>
      <c r="C216" s="22">
        <v>45206</v>
      </c>
      <c r="D216" s="32" t="s">
        <v>427</v>
      </c>
      <c r="E216" s="12">
        <f>3671250*20%</f>
        <v>734250</v>
      </c>
      <c r="F216" s="12">
        <v>358782</v>
      </c>
      <c r="G216" s="12">
        <f>E216-F216</f>
        <v>375468</v>
      </c>
      <c r="H216" s="12">
        <f>ROUND(G216*18%,)</f>
        <v>67584</v>
      </c>
      <c r="I216" s="12">
        <f>G216+H216</f>
        <v>443052</v>
      </c>
      <c r="J216" s="12">
        <f>ROUND(G216*$J$5,)</f>
        <v>3755</v>
      </c>
      <c r="K216" s="12">
        <f>ROUND(G216*$K$5,)</f>
        <v>18773</v>
      </c>
      <c r="L216" s="12">
        <f>ROUND(G216*$L$7,)</f>
        <v>0</v>
      </c>
      <c r="M216" s="12">
        <f>ROUND(G216*$M$5,)</f>
        <v>37547</v>
      </c>
      <c r="N216" s="12">
        <f>H216</f>
        <v>67584</v>
      </c>
      <c r="O216" s="41"/>
      <c r="P216" s="12">
        <f>I216-SUM(J216:N216)</f>
        <v>315393</v>
      </c>
      <c r="Q216" s="127" t="s">
        <v>421</v>
      </c>
      <c r="R216" s="35"/>
      <c r="S216" s="37"/>
      <c r="T216" s="61"/>
      <c r="U216" s="14"/>
      <c r="V216" s="14"/>
    </row>
    <row r="217" spans="1:77" ht="30" customHeight="1" x14ac:dyDescent="0.25">
      <c r="A217" s="17"/>
      <c r="B217" s="31"/>
      <c r="C217" s="22"/>
      <c r="D217" s="32"/>
      <c r="E217" s="12"/>
      <c r="F217" s="12"/>
      <c r="G217" s="12"/>
      <c r="H217" s="12"/>
      <c r="I217" s="12"/>
      <c r="J217" s="12"/>
      <c r="K217" s="12"/>
      <c r="L217" s="12"/>
      <c r="M217" s="12"/>
      <c r="N217" s="38"/>
      <c r="O217" s="38"/>
      <c r="P217" s="12"/>
      <c r="Q217" s="128"/>
      <c r="R217" s="35"/>
      <c r="S217" s="37"/>
      <c r="T217" s="61"/>
      <c r="U217" s="14"/>
      <c r="V217" s="14"/>
    </row>
    <row r="218" spans="1:77" ht="30" customHeight="1" x14ac:dyDescent="0.25">
      <c r="A218" s="17"/>
      <c r="B218" s="31"/>
      <c r="C218" s="22"/>
      <c r="D218" s="32"/>
      <c r="E218" s="12"/>
      <c r="F218" s="12"/>
      <c r="G218" s="12"/>
      <c r="H218" s="12"/>
      <c r="I218" s="12"/>
      <c r="J218" s="12"/>
      <c r="K218" s="12"/>
      <c r="L218" s="12"/>
      <c r="M218" s="12"/>
      <c r="N218" s="38"/>
      <c r="O218" s="38"/>
      <c r="P218" s="12"/>
      <c r="Q218" s="128"/>
      <c r="R218" s="35"/>
      <c r="S218" s="37"/>
      <c r="T218" s="61"/>
      <c r="U218" s="14"/>
      <c r="V218" s="38">
        <f>SUM(P215:P218)-SUM(T215:T218)</f>
        <v>42505.5</v>
      </c>
    </row>
    <row r="219" spans="1:77" s="29" customFormat="1" ht="30" customHeight="1" x14ac:dyDescent="0.25">
      <c r="A219" s="24">
        <v>59653</v>
      </c>
      <c r="B219" s="33"/>
      <c r="C219" s="20"/>
      <c r="D219" s="34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73">
        <f>A219</f>
        <v>59653</v>
      </c>
      <c r="R219" s="15"/>
      <c r="S219" s="40"/>
      <c r="T219" s="113"/>
      <c r="U219" s="15"/>
      <c r="V219" s="15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</row>
    <row r="220" spans="1:77" ht="30" customHeight="1" x14ac:dyDescent="0.25">
      <c r="A220" s="17">
        <v>1365000</v>
      </c>
      <c r="B220" s="31" t="s">
        <v>314</v>
      </c>
      <c r="C220" s="22">
        <v>45199</v>
      </c>
      <c r="D220" s="32" t="s">
        <v>444</v>
      </c>
      <c r="E220" s="12">
        <f>1365000*25%</f>
        <v>341250</v>
      </c>
      <c r="F220" s="12">
        <v>142777.78</v>
      </c>
      <c r="G220" s="12">
        <f>E220-F220</f>
        <v>198472.22</v>
      </c>
      <c r="H220" s="12">
        <f>ROUND(G220*18%,)</f>
        <v>35725</v>
      </c>
      <c r="I220" s="12">
        <f>G220+H220</f>
        <v>234197.22</v>
      </c>
      <c r="J220" s="12">
        <f>ROUND(G220*$J$5,)</f>
        <v>1985</v>
      </c>
      <c r="K220" s="12">
        <f>ROUND(G220*$K$5,)</f>
        <v>9924</v>
      </c>
      <c r="L220" s="12">
        <f>ROUND(G220*$L$7,)</f>
        <v>0</v>
      </c>
      <c r="M220" s="12">
        <f>ROUND(G220*$M$5,)</f>
        <v>19847</v>
      </c>
      <c r="N220" s="12">
        <f>H220</f>
        <v>35725</v>
      </c>
      <c r="O220" s="41"/>
      <c r="P220" s="12">
        <f>I220-SUM(J220:N220)</f>
        <v>166716.22</v>
      </c>
      <c r="Q220" s="127" t="s">
        <v>421</v>
      </c>
      <c r="R220" s="35" t="s">
        <v>226</v>
      </c>
      <c r="S220" s="37">
        <v>150000</v>
      </c>
      <c r="T220" s="26">
        <f>S220-1%*S220</f>
        <v>148500</v>
      </c>
      <c r="U220" s="14" t="s">
        <v>225</v>
      </c>
      <c r="V220" s="14"/>
    </row>
    <row r="221" spans="1:77" ht="30" customHeight="1" x14ac:dyDescent="0.25">
      <c r="A221" s="17"/>
      <c r="B221" s="31"/>
      <c r="C221" s="22"/>
      <c r="D221" s="32"/>
      <c r="E221" s="12"/>
      <c r="F221" s="12"/>
      <c r="G221" s="12"/>
      <c r="H221" s="12"/>
      <c r="I221" s="12"/>
      <c r="J221" s="12"/>
      <c r="K221" s="12"/>
      <c r="L221" s="12"/>
      <c r="M221" s="12"/>
      <c r="N221" s="38"/>
      <c r="O221" s="38"/>
      <c r="P221" s="12"/>
      <c r="Q221" s="128"/>
      <c r="R221" s="35" t="s">
        <v>227</v>
      </c>
      <c r="S221" s="37">
        <v>400000</v>
      </c>
      <c r="T221" s="26">
        <f>S221-1%*S221</f>
        <v>396000</v>
      </c>
      <c r="U221" s="14" t="s">
        <v>224</v>
      </c>
      <c r="V221" s="38"/>
    </row>
    <row r="222" spans="1:77" ht="30" customHeight="1" x14ac:dyDescent="0.25">
      <c r="A222" s="17"/>
      <c r="B222" s="31"/>
      <c r="C222" s="22"/>
      <c r="D222" s="32"/>
      <c r="E222" s="12"/>
      <c r="F222" s="12"/>
      <c r="G222" s="12"/>
      <c r="H222" s="12"/>
      <c r="I222" s="12"/>
      <c r="J222" s="12"/>
      <c r="K222" s="12"/>
      <c r="L222" s="12"/>
      <c r="M222" s="12"/>
      <c r="N222" s="38"/>
      <c r="O222" s="38"/>
      <c r="P222" s="12"/>
      <c r="Q222" s="128"/>
      <c r="R222" s="35"/>
      <c r="S222" s="37"/>
      <c r="T222" s="26"/>
      <c r="U222" s="14"/>
      <c r="V222" s="38">
        <f>SUM(P220:P222)-SUM(T220:T222)</f>
        <v>-377783.78</v>
      </c>
    </row>
    <row r="223" spans="1:77" s="29" customFormat="1" ht="30" customHeight="1" x14ac:dyDescent="0.25">
      <c r="A223" s="24">
        <v>59654</v>
      </c>
      <c r="B223" s="33"/>
      <c r="C223" s="20"/>
      <c r="D223" s="34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73">
        <f>A223</f>
        <v>59654</v>
      </c>
      <c r="R223" s="15"/>
      <c r="S223" s="40"/>
      <c r="T223" s="113"/>
      <c r="U223" s="15"/>
      <c r="V223" s="15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</row>
    <row r="224" spans="1:77" ht="30" customHeight="1" x14ac:dyDescent="0.25">
      <c r="A224" s="17">
        <v>2475000</v>
      </c>
      <c r="B224" s="31" t="s">
        <v>315</v>
      </c>
      <c r="C224" s="22">
        <v>45199</v>
      </c>
      <c r="D224" s="32">
        <v>98</v>
      </c>
      <c r="E224" s="12">
        <f>2475000*20%</f>
        <v>495000</v>
      </c>
      <c r="F224" s="12">
        <v>193072.9</v>
      </c>
      <c r="G224" s="12">
        <f>E224-F224</f>
        <v>301927.09999999998</v>
      </c>
      <c r="H224" s="12">
        <f>ROUND(G224*18%,)</f>
        <v>54347</v>
      </c>
      <c r="I224" s="12">
        <f>G224+H224</f>
        <v>356274.1</v>
      </c>
      <c r="J224" s="12">
        <f>ROUND(G224*$J$5,)</f>
        <v>3019</v>
      </c>
      <c r="K224" s="12">
        <f>ROUND(G224*$K$5,)</f>
        <v>15096</v>
      </c>
      <c r="L224" s="12">
        <f>ROUND(G224*$L$5,)</f>
        <v>0</v>
      </c>
      <c r="M224" s="12">
        <f>ROUND(G224*$M$5,)</f>
        <v>30193</v>
      </c>
      <c r="N224" s="12">
        <f>H224</f>
        <v>54347</v>
      </c>
      <c r="O224" s="41"/>
      <c r="P224" s="12">
        <f>I224-SUM(J224:N224)</f>
        <v>253619.09999999998</v>
      </c>
      <c r="Q224" s="127" t="s">
        <v>421</v>
      </c>
      <c r="R224" s="12" t="s">
        <v>223</v>
      </c>
      <c r="S224" s="37">
        <v>250000</v>
      </c>
      <c r="T224" s="26">
        <f t="shared" ref="T224" si="43">S224-1%*S224</f>
        <v>247500</v>
      </c>
      <c r="U224" s="14" t="s">
        <v>236</v>
      </c>
      <c r="V224" s="14"/>
    </row>
    <row r="225" spans="1:77" ht="30" customHeight="1" x14ac:dyDescent="0.25">
      <c r="A225" s="17"/>
      <c r="B225" s="31"/>
      <c r="C225" s="22">
        <v>45233</v>
      </c>
      <c r="D225" s="32">
        <v>126</v>
      </c>
      <c r="E225" s="12">
        <v>371250</v>
      </c>
      <c r="F225" s="12">
        <v>161937</v>
      </c>
      <c r="G225" s="12">
        <f>E225-F225</f>
        <v>209313</v>
      </c>
      <c r="H225" s="12">
        <f>ROUND(G225*18%,)</f>
        <v>37676</v>
      </c>
      <c r="I225" s="12">
        <f>G225+H225</f>
        <v>246989</v>
      </c>
      <c r="J225" s="12">
        <f>ROUND(G225*$J$5,)</f>
        <v>2093</v>
      </c>
      <c r="K225" s="12">
        <f>ROUND(G225*$K$5,)</f>
        <v>10466</v>
      </c>
      <c r="L225" s="12">
        <f>ROUND(G225*$L$5,)</f>
        <v>0</v>
      </c>
      <c r="M225" s="12">
        <f>ROUND(G225*$M$5,)</f>
        <v>20931</v>
      </c>
      <c r="N225" s="12">
        <f>H225</f>
        <v>37676</v>
      </c>
      <c r="O225" s="41"/>
      <c r="P225" s="12">
        <f>I225-SUM(J225:N225)</f>
        <v>175823</v>
      </c>
      <c r="Q225" s="128"/>
      <c r="R225" s="12" t="s">
        <v>223</v>
      </c>
      <c r="S225" s="37">
        <v>300000</v>
      </c>
      <c r="T225" s="26">
        <f t="shared" ref="T225" si="44">S225-1%*S225</f>
        <v>297000</v>
      </c>
      <c r="U225" s="14" t="s">
        <v>222</v>
      </c>
      <c r="V225" s="14"/>
    </row>
    <row r="226" spans="1:77" ht="30" customHeight="1" x14ac:dyDescent="0.25">
      <c r="A226" s="17"/>
      <c r="B226" s="31"/>
      <c r="C226" s="22"/>
      <c r="D226" s="32"/>
      <c r="E226" s="12"/>
      <c r="F226" s="12"/>
      <c r="G226" s="12"/>
      <c r="H226" s="12"/>
      <c r="I226" s="12"/>
      <c r="J226" s="12"/>
      <c r="K226" s="12"/>
      <c r="L226" s="12"/>
      <c r="M226" s="12"/>
      <c r="N226" s="38"/>
      <c r="O226" s="38"/>
      <c r="P226" s="12"/>
      <c r="Q226" s="128"/>
      <c r="R226" s="35"/>
      <c r="S226" s="37"/>
      <c r="T226" s="61"/>
      <c r="U226" s="14"/>
      <c r="V226" s="14"/>
    </row>
    <row r="227" spans="1:77" ht="30" customHeight="1" x14ac:dyDescent="0.25">
      <c r="A227" s="17"/>
      <c r="B227" s="31"/>
      <c r="C227" s="22"/>
      <c r="D227" s="32"/>
      <c r="E227" s="12"/>
      <c r="F227" s="12"/>
      <c r="G227" s="12"/>
      <c r="H227" s="12"/>
      <c r="I227" s="12"/>
      <c r="J227" s="12"/>
      <c r="K227" s="12"/>
      <c r="L227" s="12"/>
      <c r="M227" s="12"/>
      <c r="N227" s="38"/>
      <c r="O227" s="38"/>
      <c r="P227" s="12"/>
      <c r="Q227" s="128"/>
      <c r="R227" s="35"/>
      <c r="S227" s="37"/>
      <c r="T227" s="61"/>
      <c r="U227" s="14"/>
      <c r="V227" s="38">
        <f>SUM(P224:P227)-SUM(T224:T227)</f>
        <v>-115057.90000000002</v>
      </c>
    </row>
    <row r="228" spans="1:77" s="30" customFormat="1" ht="30" customHeight="1" x14ac:dyDescent="0.25">
      <c r="A228" s="24">
        <v>59793</v>
      </c>
      <c r="B228" s="45"/>
      <c r="C228" s="46"/>
      <c r="D228" s="47"/>
      <c r="E228" s="48"/>
      <c r="F228" s="48"/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73">
        <f>A228</f>
        <v>59793</v>
      </c>
      <c r="R228" s="53"/>
      <c r="S228" s="65"/>
      <c r="T228" s="113"/>
      <c r="U228" s="53"/>
      <c r="V228" s="53"/>
      <c r="W228" s="94"/>
      <c r="X228" s="94"/>
      <c r="Y228" s="94"/>
      <c r="Z228" s="94"/>
      <c r="AA228" s="94"/>
      <c r="AB228" s="94"/>
      <c r="AC228" s="94"/>
      <c r="AD228" s="94"/>
      <c r="AE228" s="94"/>
      <c r="AF228" s="94"/>
      <c r="AG228" s="94"/>
      <c r="AH228" s="94"/>
      <c r="AI228" s="94"/>
      <c r="AJ228" s="94"/>
      <c r="AK228" s="94"/>
      <c r="AL228" s="94"/>
      <c r="AM228" s="94"/>
      <c r="AN228" s="94"/>
      <c r="AO228" s="94"/>
      <c r="AP228" s="94"/>
      <c r="AQ228" s="94"/>
      <c r="AR228" s="94"/>
      <c r="AS228" s="94"/>
      <c r="AT228" s="94"/>
      <c r="AU228" s="94"/>
      <c r="AV228" s="94"/>
      <c r="AW228" s="94"/>
      <c r="AX228" s="94"/>
      <c r="AY228" s="94"/>
      <c r="AZ228" s="94"/>
      <c r="BA228" s="94"/>
      <c r="BB228" s="94"/>
      <c r="BC228" s="94"/>
      <c r="BD228" s="94"/>
      <c r="BE228" s="94"/>
      <c r="BF228" s="94"/>
      <c r="BG228" s="94"/>
      <c r="BH228" s="94"/>
      <c r="BI228" s="94"/>
      <c r="BJ228" s="94"/>
      <c r="BK228" s="94"/>
      <c r="BL228" s="94"/>
      <c r="BM228" s="94"/>
      <c r="BN228" s="94"/>
      <c r="BO228" s="94"/>
      <c r="BP228" s="94"/>
      <c r="BQ228" s="94"/>
      <c r="BR228" s="94"/>
      <c r="BS228" s="94"/>
      <c r="BT228" s="94"/>
      <c r="BU228" s="94"/>
      <c r="BV228" s="94"/>
      <c r="BW228" s="94"/>
      <c r="BX228" s="94"/>
      <c r="BY228" s="94"/>
    </row>
    <row r="229" spans="1:77" s="13" customFormat="1" ht="30" customHeight="1" x14ac:dyDescent="0.25">
      <c r="A229" s="17">
        <v>2475000</v>
      </c>
      <c r="B229" s="31" t="s">
        <v>312</v>
      </c>
      <c r="C229" s="22">
        <v>45206</v>
      </c>
      <c r="D229" s="32">
        <v>106</v>
      </c>
      <c r="E229" s="12">
        <f>1706250*25%</f>
        <v>426562.5</v>
      </c>
      <c r="F229" s="12">
        <v>193655</v>
      </c>
      <c r="G229" s="12">
        <f>E229-F229</f>
        <v>232907.5</v>
      </c>
      <c r="H229" s="12">
        <f>ROUND(G229*18%,)</f>
        <v>41923</v>
      </c>
      <c r="I229" s="12">
        <f>G229+H229</f>
        <v>274830.5</v>
      </c>
      <c r="J229" s="12">
        <f>ROUND(G229*$J$5,)</f>
        <v>2329</v>
      </c>
      <c r="K229" s="12">
        <f>ROUND(G229*$K$5,)</f>
        <v>11645</v>
      </c>
      <c r="L229" s="12">
        <f>ROUND(G229*$L$7,)</f>
        <v>0</v>
      </c>
      <c r="M229" s="12">
        <f>ROUND(G229*$M$5,)</f>
        <v>23291</v>
      </c>
      <c r="N229" s="12">
        <f>H229</f>
        <v>41923</v>
      </c>
      <c r="O229" s="12"/>
      <c r="P229" s="12">
        <f>G229-J229-K229-M229-O229</f>
        <v>195642.5</v>
      </c>
      <c r="Q229" s="127" t="s">
        <v>421</v>
      </c>
      <c r="R229" s="14" t="s">
        <v>170</v>
      </c>
      <c r="S229" s="37">
        <v>300000</v>
      </c>
      <c r="T229" s="61">
        <f>S229-1%*S229</f>
        <v>297000</v>
      </c>
      <c r="U229" s="35" t="s">
        <v>188</v>
      </c>
      <c r="V229" s="35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</row>
    <row r="230" spans="1:77" s="13" customFormat="1" ht="30" customHeight="1" x14ac:dyDescent="0.25">
      <c r="A230" s="17"/>
      <c r="B230" s="31"/>
      <c r="C230" s="22"/>
      <c r="D230" s="32"/>
      <c r="E230" s="12"/>
      <c r="F230" s="12"/>
      <c r="G230" s="12"/>
      <c r="H230" s="12"/>
      <c r="I230" s="12"/>
      <c r="J230" s="12"/>
      <c r="K230" s="12"/>
      <c r="L230" s="12"/>
      <c r="M230" s="12"/>
      <c r="N230" s="38"/>
      <c r="O230" s="38"/>
      <c r="P230" s="12"/>
      <c r="Q230" s="128"/>
      <c r="R230" s="35"/>
      <c r="S230" s="64"/>
      <c r="T230" s="61"/>
      <c r="U230" s="35"/>
      <c r="V230" s="38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</row>
    <row r="231" spans="1:77" s="13" customFormat="1" ht="30" customHeight="1" x14ac:dyDescent="0.25">
      <c r="A231" s="17"/>
      <c r="B231" s="31"/>
      <c r="C231" s="22"/>
      <c r="D231" s="32"/>
      <c r="E231" s="12"/>
      <c r="F231" s="12"/>
      <c r="G231" s="12"/>
      <c r="H231" s="12"/>
      <c r="I231" s="12"/>
      <c r="J231" s="12"/>
      <c r="K231" s="12"/>
      <c r="L231" s="12"/>
      <c r="M231" s="12"/>
      <c r="N231" s="38"/>
      <c r="O231" s="38"/>
      <c r="P231" s="12"/>
      <c r="Q231" s="128"/>
      <c r="R231" s="35"/>
      <c r="S231" s="64"/>
      <c r="T231" s="61"/>
      <c r="U231" s="35"/>
      <c r="V231" s="38">
        <f>SUM(P229:P231)-SUM(T229:T231)</f>
        <v>-101357.5</v>
      </c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</row>
    <row r="232" spans="1:77" s="29" customFormat="1" ht="30" customHeight="1" x14ac:dyDescent="0.25">
      <c r="A232" s="24">
        <v>60073</v>
      </c>
      <c r="B232" s="33"/>
      <c r="C232" s="20"/>
      <c r="D232" s="34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73">
        <f>A232</f>
        <v>60073</v>
      </c>
      <c r="R232" s="15"/>
      <c r="S232" s="40"/>
      <c r="T232" s="113"/>
      <c r="U232" s="15"/>
      <c r="V232" s="15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</row>
    <row r="233" spans="1:77" s="13" customFormat="1" ht="30" customHeight="1" x14ac:dyDescent="0.25">
      <c r="A233" s="17">
        <v>3500000</v>
      </c>
      <c r="B233" s="42" t="s">
        <v>310</v>
      </c>
      <c r="C233" s="43">
        <v>45225</v>
      </c>
      <c r="D233" s="44">
        <v>119</v>
      </c>
      <c r="E233" s="41">
        <v>545275</v>
      </c>
      <c r="F233" s="41" t="s">
        <v>212</v>
      </c>
      <c r="G233" s="41">
        <v>545275</v>
      </c>
      <c r="H233" s="41">
        <f>G233*18%</f>
        <v>98149.5</v>
      </c>
      <c r="I233" s="41">
        <f>G233+H233</f>
        <v>643424.5</v>
      </c>
      <c r="J233" s="41">
        <f>I233*1%</f>
        <v>6434.2449999999999</v>
      </c>
      <c r="K233" s="41">
        <f>I233*5%</f>
        <v>32171.225000000002</v>
      </c>
      <c r="L233" s="12">
        <f t="shared" ref="L233" si="45">ROUND(G233*$L$7,)</f>
        <v>0</v>
      </c>
      <c r="M233" s="41">
        <f>I233*10%</f>
        <v>64342.450000000004</v>
      </c>
      <c r="N233" s="41"/>
      <c r="O233" s="41">
        <v>98149</v>
      </c>
      <c r="P233" s="41">
        <v>458031</v>
      </c>
      <c r="Q233" s="128"/>
      <c r="R233" s="14" t="s">
        <v>231</v>
      </c>
      <c r="S233" s="37">
        <v>300000</v>
      </c>
      <c r="T233" s="26">
        <f t="shared" ref="T233:T234" si="46">S233-1%*S233</f>
        <v>297000</v>
      </c>
      <c r="U233" s="35" t="s">
        <v>230</v>
      </c>
      <c r="V233" s="35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</row>
    <row r="234" spans="1:77" s="13" customFormat="1" ht="30" customHeight="1" x14ac:dyDescent="0.25">
      <c r="A234" s="17"/>
      <c r="B234" s="31"/>
      <c r="C234" s="22"/>
      <c r="D234" s="32"/>
      <c r="E234" s="12">
        <f>N233</f>
        <v>0</v>
      </c>
      <c r="F234" s="12"/>
      <c r="G234" s="12"/>
      <c r="H234" s="12"/>
      <c r="I234" s="12"/>
      <c r="J234" s="12"/>
      <c r="K234" s="12"/>
      <c r="L234" s="12"/>
      <c r="M234" s="12"/>
      <c r="N234" s="38"/>
      <c r="O234" s="38"/>
      <c r="P234" s="12">
        <f>E234</f>
        <v>0</v>
      </c>
      <c r="Q234" s="128"/>
      <c r="R234" s="14" t="s">
        <v>244</v>
      </c>
      <c r="S234" s="37">
        <v>150000</v>
      </c>
      <c r="T234" s="26">
        <f t="shared" si="46"/>
        <v>148500</v>
      </c>
      <c r="U234" s="35" t="s">
        <v>243</v>
      </c>
      <c r="V234" s="35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</row>
    <row r="235" spans="1:77" s="13" customFormat="1" ht="30" customHeight="1" x14ac:dyDescent="0.25">
      <c r="A235" s="17"/>
      <c r="B235" s="42"/>
      <c r="C235" s="43"/>
      <c r="D235" s="44"/>
      <c r="E235" s="41"/>
      <c r="F235" s="41"/>
      <c r="G235" s="41"/>
      <c r="H235" s="41"/>
      <c r="I235" s="41"/>
      <c r="J235" s="41"/>
      <c r="K235" s="41"/>
      <c r="L235" s="12"/>
      <c r="M235" s="41"/>
      <c r="N235" s="41"/>
      <c r="O235" s="41"/>
      <c r="P235" s="41"/>
      <c r="Q235" s="128"/>
      <c r="R235" s="14" t="s">
        <v>291</v>
      </c>
      <c r="S235" s="37">
        <v>400000</v>
      </c>
      <c r="T235" s="26">
        <f t="shared" ref="T235" si="47">S235-1%*S235</f>
        <v>396000</v>
      </c>
      <c r="U235" s="35" t="s">
        <v>290</v>
      </c>
      <c r="V235" s="38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</row>
    <row r="236" spans="1:77" s="13" customFormat="1" ht="30" customHeight="1" x14ac:dyDescent="0.25">
      <c r="A236" s="17"/>
      <c r="B236" s="42"/>
      <c r="C236" s="43"/>
      <c r="D236" s="44"/>
      <c r="E236" s="41"/>
      <c r="F236" s="41"/>
      <c r="G236" s="41"/>
      <c r="H236" s="41"/>
      <c r="I236" s="41"/>
      <c r="J236" s="41"/>
      <c r="K236" s="41"/>
      <c r="L236" s="12"/>
      <c r="M236" s="41"/>
      <c r="N236" s="41"/>
      <c r="O236" s="41"/>
      <c r="P236" s="41"/>
      <c r="Q236" s="128"/>
      <c r="R236" s="14"/>
      <c r="S236" s="37"/>
      <c r="T236" s="26"/>
      <c r="U236" s="35"/>
      <c r="V236" s="38">
        <f>SUM(P233:P236)-SUM(T233:T236)</f>
        <v>-383469</v>
      </c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</row>
    <row r="237" spans="1:77" s="29" customFormat="1" ht="30" customHeight="1" x14ac:dyDescent="0.25">
      <c r="A237" s="24">
        <v>60074</v>
      </c>
      <c r="B237" s="33"/>
      <c r="C237" s="20"/>
      <c r="D237" s="34"/>
      <c r="E237" s="16"/>
      <c r="F237" s="16"/>
      <c r="G237" s="16"/>
      <c r="H237" s="16"/>
      <c r="I237" s="16"/>
      <c r="J237" s="16"/>
      <c r="K237" s="16"/>
      <c r="L237" s="16">
        <f>ROUND(G237*$L$7,)</f>
        <v>0</v>
      </c>
      <c r="M237" s="16"/>
      <c r="N237" s="16"/>
      <c r="O237" s="16"/>
      <c r="P237" s="16"/>
      <c r="Q237" s="73">
        <f>A237</f>
        <v>60074</v>
      </c>
      <c r="R237" s="15"/>
      <c r="S237" s="40"/>
      <c r="T237" s="113"/>
      <c r="U237" s="15"/>
      <c r="V237" s="15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</row>
    <row r="238" spans="1:77" s="13" customFormat="1" ht="30" customHeight="1" x14ac:dyDescent="0.25">
      <c r="A238" s="17">
        <v>3150000</v>
      </c>
      <c r="B238" s="42" t="s">
        <v>311</v>
      </c>
      <c r="C238" s="43">
        <v>45215</v>
      </c>
      <c r="D238" s="44" t="s">
        <v>423</v>
      </c>
      <c r="E238" s="41">
        <v>787500</v>
      </c>
      <c r="F238" s="41">
        <v>255017</v>
      </c>
      <c r="G238" s="41">
        <f>E238-F238</f>
        <v>532483</v>
      </c>
      <c r="H238" s="41">
        <f>G238*18%</f>
        <v>95846.94</v>
      </c>
      <c r="I238" s="41">
        <f>G238+H238</f>
        <v>628329.93999999994</v>
      </c>
      <c r="J238" s="41">
        <f>I238*1%</f>
        <v>6283.2993999999999</v>
      </c>
      <c r="K238" s="41">
        <f>I238*5%</f>
        <v>31416.496999999999</v>
      </c>
      <c r="L238" s="12">
        <f>ROUND(G238*$L$7,)</f>
        <v>0</v>
      </c>
      <c r="M238" s="41">
        <f>I238*10%</f>
        <v>62832.993999999999</v>
      </c>
      <c r="N238" s="41">
        <f>G238*18%</f>
        <v>95846.94</v>
      </c>
      <c r="O238" s="41">
        <v>95847</v>
      </c>
      <c r="P238" s="41">
        <v>447286</v>
      </c>
      <c r="Q238" s="127" t="s">
        <v>421</v>
      </c>
      <c r="R238" s="14" t="s">
        <v>238</v>
      </c>
      <c r="S238" s="37">
        <v>400000</v>
      </c>
      <c r="T238" s="61">
        <f>S238-1%*S238</f>
        <v>396000</v>
      </c>
      <c r="U238" s="35" t="s">
        <v>237</v>
      </c>
      <c r="V238" s="35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</row>
    <row r="239" spans="1:77" s="13" customFormat="1" ht="30" customHeight="1" x14ac:dyDescent="0.25">
      <c r="A239" s="17"/>
      <c r="B239" s="42"/>
      <c r="C239" s="43">
        <v>45296</v>
      </c>
      <c r="D239" s="44">
        <v>149</v>
      </c>
      <c r="E239" s="41">
        <v>472500</v>
      </c>
      <c r="F239" s="41">
        <v>208431</v>
      </c>
      <c r="G239" s="41">
        <f>E239-F239</f>
        <v>264069</v>
      </c>
      <c r="H239" s="41">
        <f>G239*18%</f>
        <v>47532.42</v>
      </c>
      <c r="I239" s="41">
        <f>G239+H239</f>
        <v>311601.42</v>
      </c>
      <c r="J239" s="41">
        <f>G239*1%</f>
        <v>2640.69</v>
      </c>
      <c r="K239" s="41">
        <f>G239*5%</f>
        <v>13203.45</v>
      </c>
      <c r="L239" s="12">
        <f t="shared" ref="L239" si="48">ROUND(G239*$L$7,)</f>
        <v>0</v>
      </c>
      <c r="M239" s="41">
        <f>G239*10%</f>
        <v>26406.9</v>
      </c>
      <c r="N239" s="41">
        <f>G239*18%</f>
        <v>47532.42</v>
      </c>
      <c r="O239" s="41">
        <v>95847</v>
      </c>
      <c r="P239" s="41">
        <f>G239-J239-K239-M239</f>
        <v>221817.96</v>
      </c>
      <c r="Q239" s="128"/>
      <c r="R239" s="14" t="s">
        <v>289</v>
      </c>
      <c r="S239" s="37">
        <v>400000</v>
      </c>
      <c r="T239" s="61">
        <f>S239-1%*S239</f>
        <v>396000</v>
      </c>
      <c r="U239" s="35" t="s">
        <v>288</v>
      </c>
      <c r="V239" s="38">
        <f>SUM(P238:P240)-SUM(T238:T240)</f>
        <v>-122896.04000000004</v>
      </c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</row>
    <row r="240" spans="1:77" s="13" customFormat="1" ht="30" customHeight="1" x14ac:dyDescent="0.25">
      <c r="A240" s="17"/>
      <c r="B240" s="42"/>
      <c r="C240" s="43"/>
      <c r="D240" s="44"/>
      <c r="E240" s="41"/>
      <c r="F240" s="41"/>
      <c r="G240" s="41"/>
      <c r="H240" s="41"/>
      <c r="I240" s="41"/>
      <c r="J240" s="41"/>
      <c r="K240" s="41"/>
      <c r="L240" s="12"/>
      <c r="M240" s="41"/>
      <c r="N240" s="41"/>
      <c r="O240" s="41"/>
      <c r="P240" s="41"/>
      <c r="Q240" s="128"/>
      <c r="R240" s="14"/>
      <c r="S240" s="37"/>
      <c r="T240" s="61"/>
      <c r="U240" s="35"/>
      <c r="V240" s="38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</row>
    <row r="241" spans="1:77" s="29" customFormat="1" ht="30" customHeight="1" x14ac:dyDescent="0.25">
      <c r="A241" s="24">
        <v>60075</v>
      </c>
      <c r="B241" s="33"/>
      <c r="C241" s="20"/>
      <c r="D241" s="34"/>
      <c r="E241" s="16"/>
      <c r="F241" s="16"/>
      <c r="G241" s="16"/>
      <c r="H241" s="16"/>
      <c r="I241" s="16"/>
      <c r="J241" s="16"/>
      <c r="K241" s="16"/>
      <c r="L241" s="16">
        <f>ROUND(G241*$L$7,)</f>
        <v>0</v>
      </c>
      <c r="M241" s="16"/>
      <c r="N241" s="16"/>
      <c r="O241" s="16"/>
      <c r="P241" s="16"/>
      <c r="Q241" s="73">
        <f>A241</f>
        <v>60075</v>
      </c>
      <c r="R241" s="15"/>
      <c r="S241" s="40"/>
      <c r="T241" s="113"/>
      <c r="U241" s="15"/>
      <c r="V241" s="15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</row>
    <row r="242" spans="1:77" s="13" customFormat="1" ht="30" customHeight="1" x14ac:dyDescent="0.25">
      <c r="A242" s="17">
        <v>2475000</v>
      </c>
      <c r="B242" s="42" t="s">
        <v>309</v>
      </c>
      <c r="C242" s="43">
        <v>45225</v>
      </c>
      <c r="D242" s="44">
        <v>122</v>
      </c>
      <c r="E242" s="41">
        <v>371250</v>
      </c>
      <c r="F242" s="41">
        <v>164522</v>
      </c>
      <c r="G242" s="41">
        <f>E242-F242</f>
        <v>206728</v>
      </c>
      <c r="H242" s="41">
        <f>G242*18%</f>
        <v>37211.040000000001</v>
      </c>
      <c r="I242" s="41">
        <f>G242+H242</f>
        <v>243939.04</v>
      </c>
      <c r="J242" s="41">
        <f>I242*1%</f>
        <v>2439.3904000000002</v>
      </c>
      <c r="K242" s="41">
        <f>I242*5%</f>
        <v>12196.952000000001</v>
      </c>
      <c r="L242" s="12">
        <f>ROUND(G242*$L$7,)</f>
        <v>0</v>
      </c>
      <c r="M242" s="41">
        <f>I242*10%</f>
        <v>24393.904000000002</v>
      </c>
      <c r="N242" s="41">
        <f>G242*18%</f>
        <v>37211.040000000001</v>
      </c>
      <c r="O242" s="41">
        <v>0</v>
      </c>
      <c r="P242" s="41">
        <v>173652</v>
      </c>
      <c r="Q242" s="128"/>
      <c r="R242" s="14" t="s">
        <v>240</v>
      </c>
      <c r="S242" s="37">
        <v>150000</v>
      </c>
      <c r="T242" s="61">
        <f>S242-1%*S242</f>
        <v>148500</v>
      </c>
      <c r="U242" s="35" t="s">
        <v>239</v>
      </c>
      <c r="V242" s="35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</row>
    <row r="243" spans="1:77" s="13" customFormat="1" ht="30" customHeight="1" x14ac:dyDescent="0.25">
      <c r="A243" s="17"/>
      <c r="B243" s="31"/>
      <c r="C243" s="22"/>
      <c r="D243" s="32"/>
      <c r="E243" s="12"/>
      <c r="F243" s="12"/>
      <c r="G243" s="12"/>
      <c r="H243" s="12"/>
      <c r="I243" s="12"/>
      <c r="J243" s="12"/>
      <c r="K243" s="12"/>
      <c r="L243" s="12"/>
      <c r="M243" s="12"/>
      <c r="N243" s="38"/>
      <c r="O243" s="38"/>
      <c r="P243" s="12"/>
      <c r="Q243" s="128"/>
      <c r="R243" s="35"/>
      <c r="S243" s="64">
        <v>250000</v>
      </c>
      <c r="T243" s="61">
        <v>237500</v>
      </c>
      <c r="U243" s="35" t="s">
        <v>458</v>
      </c>
      <c r="V243" s="38">
        <f>SUM(P242:P244)-SUM(T242:T244)</f>
        <v>-212348</v>
      </c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</row>
    <row r="244" spans="1:77" s="13" customFormat="1" ht="30" customHeight="1" x14ac:dyDescent="0.25">
      <c r="A244" s="17"/>
      <c r="B244" s="31"/>
      <c r="C244" s="22"/>
      <c r="D244" s="32"/>
      <c r="E244" s="12"/>
      <c r="F244" s="12"/>
      <c r="G244" s="12"/>
      <c r="H244" s="12"/>
      <c r="I244" s="12"/>
      <c r="J244" s="12"/>
      <c r="K244" s="12"/>
      <c r="L244" s="12"/>
      <c r="M244" s="12"/>
      <c r="N244" s="38"/>
      <c r="O244" s="38"/>
      <c r="P244" s="12"/>
      <c r="Q244" s="128"/>
      <c r="R244" s="35"/>
      <c r="S244" s="64"/>
      <c r="T244" s="61"/>
      <c r="U244" s="35"/>
      <c r="V244" s="38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</row>
    <row r="245" spans="1:77" s="29" customFormat="1" ht="30" customHeight="1" x14ac:dyDescent="0.25">
      <c r="A245" s="24">
        <v>60111</v>
      </c>
      <c r="B245" s="33"/>
      <c r="C245" s="20"/>
      <c r="D245" s="34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73">
        <f>A245</f>
        <v>60111</v>
      </c>
      <c r="R245" s="15"/>
      <c r="S245" s="40"/>
      <c r="T245" s="113"/>
      <c r="U245" s="15"/>
      <c r="V245" s="15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</row>
    <row r="246" spans="1:77" ht="30" customHeight="1" x14ac:dyDescent="0.25">
      <c r="A246" s="17">
        <v>2475000</v>
      </c>
      <c r="B246" s="31" t="s">
        <v>308</v>
      </c>
      <c r="C246" s="22">
        <v>45233</v>
      </c>
      <c r="D246" s="32">
        <v>127</v>
      </c>
      <c r="E246" s="12">
        <f>818750-200000</f>
        <v>618750</v>
      </c>
      <c r="F246" s="12">
        <v>195801.7</v>
      </c>
      <c r="G246" s="41">
        <f>E246-F246</f>
        <v>422948.3</v>
      </c>
      <c r="H246" s="41">
        <f>G246*18%</f>
        <v>76130.693999999989</v>
      </c>
      <c r="I246" s="41">
        <f>G246+H246</f>
        <v>499078.99399999995</v>
      </c>
      <c r="J246" s="41">
        <f>G246*1%</f>
        <v>4229.4830000000002</v>
      </c>
      <c r="K246" s="41">
        <f>G246*5%</f>
        <v>21147.415000000001</v>
      </c>
      <c r="L246" s="12"/>
      <c r="M246" s="41">
        <f>G246*10%</f>
        <v>42294.83</v>
      </c>
      <c r="N246" s="41"/>
      <c r="O246" s="41"/>
      <c r="P246" s="41">
        <f>I246-SUM(J246:O246)</f>
        <v>431407.26599999995</v>
      </c>
      <c r="Q246" s="128" t="s">
        <v>307</v>
      </c>
      <c r="R246" s="14" t="s">
        <v>235</v>
      </c>
      <c r="S246" s="37">
        <v>350000</v>
      </c>
      <c r="T246" s="26">
        <f t="shared" ref="T246" si="49">S246-1%*S246</f>
        <v>346500</v>
      </c>
      <c r="U246" s="35" t="s">
        <v>234</v>
      </c>
      <c r="V246" s="14"/>
    </row>
    <row r="247" spans="1:77" ht="30" customHeight="1" x14ac:dyDescent="0.25">
      <c r="A247" s="17"/>
      <c r="B247" s="31"/>
      <c r="C247" s="22"/>
      <c r="D247" s="32"/>
      <c r="E247" s="12">
        <f>N246</f>
        <v>0</v>
      </c>
      <c r="F247" s="12"/>
      <c r="G247" s="12"/>
      <c r="H247" s="12"/>
      <c r="I247" s="12"/>
      <c r="J247" s="12"/>
      <c r="K247" s="12"/>
      <c r="L247" s="12"/>
      <c r="M247" s="12"/>
      <c r="N247" s="38"/>
      <c r="O247" s="38"/>
      <c r="P247" s="12">
        <f>E247</f>
        <v>0</v>
      </c>
      <c r="Q247" s="128"/>
      <c r="R247" s="14" t="s">
        <v>242</v>
      </c>
      <c r="S247" s="37">
        <v>150000</v>
      </c>
      <c r="T247" s="26">
        <f t="shared" ref="T247" si="50">S247-1%*S247</f>
        <v>148500</v>
      </c>
      <c r="U247" s="14" t="s">
        <v>241</v>
      </c>
      <c r="V247" s="14"/>
    </row>
    <row r="248" spans="1:77" ht="30" customHeight="1" x14ac:dyDescent="0.25">
      <c r="A248" s="17"/>
      <c r="B248" s="31"/>
      <c r="C248" s="22"/>
      <c r="D248" s="32"/>
      <c r="E248" s="12"/>
      <c r="F248" s="12"/>
      <c r="G248" s="12"/>
      <c r="H248" s="12"/>
      <c r="I248" s="12"/>
      <c r="J248" s="12"/>
      <c r="K248" s="12"/>
      <c r="L248" s="12">
        <f>ROUND(G248*$L$7,)</f>
        <v>0</v>
      </c>
      <c r="M248" s="12">
        <f>ROUND(G248*$M$5,)</f>
        <v>0</v>
      </c>
      <c r="N248" s="12">
        <f>H248</f>
        <v>0</v>
      </c>
      <c r="O248" s="41"/>
      <c r="P248" s="12">
        <f>I248-SUM(J248:N248)</f>
        <v>0</v>
      </c>
      <c r="Q248" s="128"/>
      <c r="R248" s="14" t="s">
        <v>293</v>
      </c>
      <c r="S248" s="37">
        <v>400000</v>
      </c>
      <c r="T248" s="26">
        <f t="shared" ref="T248" si="51">S248-1%*S248</f>
        <v>396000</v>
      </c>
      <c r="U248" s="14" t="s">
        <v>292</v>
      </c>
      <c r="V248" s="38">
        <f>SUM(P246:P249)-SUM(T246:T249)</f>
        <v>-459592.73400000005</v>
      </c>
    </row>
    <row r="249" spans="1:77" ht="30" customHeight="1" x14ac:dyDescent="0.25">
      <c r="A249" s="17"/>
      <c r="B249" s="31"/>
      <c r="C249" s="22"/>
      <c r="D249" s="3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41"/>
      <c r="P249" s="12"/>
      <c r="Q249" s="128"/>
      <c r="R249" s="14"/>
      <c r="S249" s="37"/>
      <c r="T249" s="26"/>
      <c r="U249" s="14"/>
      <c r="V249" s="38"/>
    </row>
    <row r="250" spans="1:77" s="13" customFormat="1" ht="30" customHeight="1" x14ac:dyDescent="0.25">
      <c r="A250" s="24">
        <v>60114</v>
      </c>
      <c r="B250" s="33"/>
      <c r="C250" s="20"/>
      <c r="D250" s="34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73">
        <f>A250</f>
        <v>60114</v>
      </c>
      <c r="R250" s="15"/>
      <c r="S250" s="40"/>
      <c r="T250" s="113"/>
      <c r="U250" s="15"/>
      <c r="V250" s="35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</row>
    <row r="251" spans="1:77" s="13" customFormat="1" ht="30" customHeight="1" x14ac:dyDescent="0.25">
      <c r="A251" s="17">
        <v>4095000</v>
      </c>
      <c r="B251" s="42" t="s">
        <v>306</v>
      </c>
      <c r="C251" s="43">
        <v>45236</v>
      </c>
      <c r="D251" s="44">
        <v>128</v>
      </c>
      <c r="E251" s="41">
        <v>1023750</v>
      </c>
      <c r="F251" s="41">
        <v>338216</v>
      </c>
      <c r="G251" s="41">
        <f>E251-F251</f>
        <v>685534</v>
      </c>
      <c r="H251" s="110">
        <f>G251*18%</f>
        <v>123396.12</v>
      </c>
      <c r="I251" s="41">
        <f>G251+H251</f>
        <v>808930.12</v>
      </c>
      <c r="J251" s="41">
        <f>G251*1%</f>
        <v>6855.34</v>
      </c>
      <c r="K251" s="41">
        <f>G251*5%</f>
        <v>34276.700000000004</v>
      </c>
      <c r="L251" s="12"/>
      <c r="M251" s="41">
        <f>G251*10%</f>
        <v>68553.400000000009</v>
      </c>
      <c r="N251" s="41">
        <f>H251</f>
        <v>123396.12</v>
      </c>
      <c r="O251" s="41"/>
      <c r="P251" s="41">
        <f>G251-J251-K251-M251</f>
        <v>575848.56000000006</v>
      </c>
      <c r="Q251" s="128"/>
      <c r="R251" s="14" t="s">
        <v>229</v>
      </c>
      <c r="S251" s="37">
        <v>550000</v>
      </c>
      <c r="T251" s="26">
        <f t="shared" ref="T251" si="52">S251-1%*S251</f>
        <v>544500</v>
      </c>
      <c r="U251" s="27" t="s">
        <v>228</v>
      </c>
      <c r="V251" s="35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</row>
    <row r="252" spans="1:77" s="13" customFormat="1" ht="30.75" customHeight="1" x14ac:dyDescent="0.25">
      <c r="A252" s="59"/>
      <c r="B252" s="42"/>
      <c r="C252" s="43">
        <v>45318</v>
      </c>
      <c r="D252" s="44">
        <v>174</v>
      </c>
      <c r="E252" s="41">
        <v>614250</v>
      </c>
      <c r="F252" s="41">
        <v>0</v>
      </c>
      <c r="G252" s="41">
        <f>E252-F252</f>
        <v>614250</v>
      </c>
      <c r="H252" s="110">
        <f>G252*18%</f>
        <v>110565</v>
      </c>
      <c r="I252" s="41">
        <f>G252+H252</f>
        <v>724815</v>
      </c>
      <c r="J252" s="41">
        <f>G252*1%</f>
        <v>6142.5</v>
      </c>
      <c r="K252" s="41">
        <f>G252*5%</f>
        <v>30712.5</v>
      </c>
      <c r="L252" s="12"/>
      <c r="M252" s="41">
        <v>0</v>
      </c>
      <c r="N252" s="41">
        <f>H252</f>
        <v>110565</v>
      </c>
      <c r="O252" s="41">
        <v>204750</v>
      </c>
      <c r="P252" s="41">
        <f>G252-J252-K252-M252-O252</f>
        <v>372645</v>
      </c>
      <c r="Q252" s="128"/>
      <c r="R252" s="14" t="s">
        <v>261</v>
      </c>
      <c r="S252" s="37">
        <v>500000</v>
      </c>
      <c r="T252" s="26">
        <f t="shared" ref="T252" si="53">S252-1%*S252</f>
        <v>495000</v>
      </c>
      <c r="U252" s="27" t="s">
        <v>260</v>
      </c>
      <c r="V252" s="38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</row>
    <row r="253" spans="1:77" s="13" customFormat="1" ht="30.75" customHeight="1" x14ac:dyDescent="0.25">
      <c r="A253" s="59"/>
      <c r="B253" s="42"/>
      <c r="C253" s="43"/>
      <c r="D253" s="44"/>
      <c r="E253" s="41"/>
      <c r="F253" s="41"/>
      <c r="G253" s="41"/>
      <c r="H253" s="41"/>
      <c r="I253" s="41"/>
      <c r="J253" s="41"/>
      <c r="K253" s="41"/>
      <c r="L253" s="12"/>
      <c r="M253" s="41"/>
      <c r="N253" s="41"/>
      <c r="O253" s="41"/>
      <c r="P253" s="41"/>
      <c r="Q253" s="128"/>
      <c r="R253" s="14" t="s">
        <v>277</v>
      </c>
      <c r="S253" s="37">
        <v>500000</v>
      </c>
      <c r="T253" s="26">
        <f t="shared" ref="T253" si="54">S253-1%*S253</f>
        <v>495000</v>
      </c>
      <c r="U253" s="27" t="s">
        <v>276</v>
      </c>
      <c r="V253" s="38">
        <f>SUM(P251:P254)-SUM(T251:T254)</f>
        <v>-586006.43999999994</v>
      </c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</row>
    <row r="254" spans="1:77" s="13" customFormat="1" ht="30.75" customHeight="1" x14ac:dyDescent="0.25">
      <c r="A254" s="59"/>
      <c r="B254" s="42"/>
      <c r="C254" s="43"/>
      <c r="D254" s="44"/>
      <c r="E254" s="41"/>
      <c r="F254" s="41"/>
      <c r="G254" s="41"/>
      <c r="H254" s="41"/>
      <c r="I254" s="41"/>
      <c r="J254" s="41"/>
      <c r="K254" s="41"/>
      <c r="L254" s="12"/>
      <c r="M254" s="41"/>
      <c r="N254" s="41"/>
      <c r="O254" s="41"/>
      <c r="P254" s="41"/>
      <c r="Q254" s="128"/>
      <c r="R254" s="14"/>
      <c r="S254" s="37"/>
      <c r="T254" s="26"/>
      <c r="U254" s="27"/>
      <c r="V254" s="38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</row>
    <row r="255" spans="1:77" s="13" customFormat="1" ht="30" customHeight="1" x14ac:dyDescent="0.25">
      <c r="A255" s="24">
        <v>60115</v>
      </c>
      <c r="B255" s="33"/>
      <c r="C255" s="20"/>
      <c r="D255" s="34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73">
        <f>A255</f>
        <v>60115</v>
      </c>
      <c r="R255" s="15"/>
      <c r="S255" s="40"/>
      <c r="T255" s="113"/>
      <c r="U255" s="15"/>
      <c r="V255" s="35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</row>
    <row r="256" spans="1:77" s="13" customFormat="1" ht="30" customHeight="1" x14ac:dyDescent="0.25">
      <c r="A256" s="17">
        <v>2475000</v>
      </c>
      <c r="B256" s="42" t="s">
        <v>302</v>
      </c>
      <c r="C256" s="43">
        <v>45225</v>
      </c>
      <c r="D256" s="44">
        <v>121</v>
      </c>
      <c r="E256" s="41">
        <v>618750</v>
      </c>
      <c r="F256" s="41">
        <v>297171</v>
      </c>
      <c r="G256" s="41">
        <f>E256-F256</f>
        <v>321579</v>
      </c>
      <c r="H256" s="41">
        <f>G256*18%</f>
        <v>57884.22</v>
      </c>
      <c r="I256" s="41">
        <f>G256+H256</f>
        <v>379463.22</v>
      </c>
      <c r="J256" s="41">
        <f>G256*1%</f>
        <v>3215.79</v>
      </c>
      <c r="K256" s="41">
        <f>G256*5%</f>
        <v>16078.95</v>
      </c>
      <c r="L256" s="12"/>
      <c r="M256" s="41">
        <f>G256*10%</f>
        <v>32157.9</v>
      </c>
      <c r="N256" s="41">
        <f>H256</f>
        <v>57884.22</v>
      </c>
      <c r="O256" s="41"/>
      <c r="P256" s="41">
        <f>G256-J256-K256-M256</f>
        <v>270126.36</v>
      </c>
      <c r="Q256" s="128"/>
      <c r="R256" s="14" t="s">
        <v>269</v>
      </c>
      <c r="S256" s="37">
        <v>350000</v>
      </c>
      <c r="T256" s="26">
        <f t="shared" ref="T256:T257" si="55">S256-1%*S256</f>
        <v>346500</v>
      </c>
      <c r="U256" s="27" t="s">
        <v>268</v>
      </c>
      <c r="V256" s="35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</row>
    <row r="257" spans="1:77" s="13" customFormat="1" ht="30" customHeight="1" x14ac:dyDescent="0.25">
      <c r="A257" s="59"/>
      <c r="B257" s="42"/>
      <c r="C257" s="43">
        <v>45296</v>
      </c>
      <c r="D257" s="44">
        <v>151</v>
      </c>
      <c r="E257" s="41">
        <v>371250</v>
      </c>
      <c r="F257" s="41">
        <v>164908</v>
      </c>
      <c r="G257" s="41">
        <f>E257-F257</f>
        <v>206342</v>
      </c>
      <c r="H257" s="41">
        <f>G257*18%</f>
        <v>37141.56</v>
      </c>
      <c r="I257" s="41">
        <f>G257+H257</f>
        <v>243483.56</v>
      </c>
      <c r="J257" s="41">
        <f>G257*1%</f>
        <v>2063.42</v>
      </c>
      <c r="K257" s="41">
        <f>G257*5%</f>
        <v>10317.1</v>
      </c>
      <c r="L257" s="12"/>
      <c r="M257" s="41">
        <f>G257*10%</f>
        <v>20634.2</v>
      </c>
      <c r="N257" s="41">
        <f>H257</f>
        <v>37141.56</v>
      </c>
      <c r="O257" s="41"/>
      <c r="P257" s="41">
        <f>G257-J257-K257-M257</f>
        <v>173327.27999999997</v>
      </c>
      <c r="Q257" s="128"/>
      <c r="R257" s="14" t="s">
        <v>270</v>
      </c>
      <c r="S257" s="37">
        <v>500000</v>
      </c>
      <c r="T257" s="26">
        <f t="shared" si="55"/>
        <v>495000</v>
      </c>
      <c r="U257" s="27" t="s">
        <v>267</v>
      </c>
      <c r="V257" s="38">
        <f>SUM(P256:P259)-SUM(T256:T259)</f>
        <v>-881046.3600000001</v>
      </c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</row>
    <row r="258" spans="1:77" s="13" customFormat="1" ht="30" customHeight="1" x14ac:dyDescent="0.25">
      <c r="A258" s="59"/>
      <c r="B258" s="42"/>
      <c r="C258" s="43"/>
      <c r="D258" s="44"/>
      <c r="E258" s="41"/>
      <c r="F258" s="41"/>
      <c r="G258" s="41"/>
      <c r="H258" s="41"/>
      <c r="I258" s="41"/>
      <c r="J258" s="41"/>
      <c r="K258" s="41"/>
      <c r="L258" s="12"/>
      <c r="M258" s="41"/>
      <c r="N258" s="41"/>
      <c r="O258" s="41"/>
      <c r="P258" s="41"/>
      <c r="Q258" s="128"/>
      <c r="R258" s="14"/>
      <c r="S258" s="37">
        <v>200000</v>
      </c>
      <c r="T258" s="26">
        <v>198000</v>
      </c>
      <c r="U258" s="27" t="s">
        <v>386</v>
      </c>
      <c r="V258" s="38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</row>
    <row r="259" spans="1:77" s="13" customFormat="1" ht="30" customHeight="1" x14ac:dyDescent="0.25">
      <c r="A259" s="59"/>
      <c r="B259" s="42"/>
      <c r="C259" s="43"/>
      <c r="D259" s="44"/>
      <c r="E259" s="41"/>
      <c r="F259" s="41"/>
      <c r="G259" s="41"/>
      <c r="H259" s="41"/>
      <c r="I259" s="41"/>
      <c r="J259" s="41"/>
      <c r="K259" s="41"/>
      <c r="L259" s="12"/>
      <c r="M259" s="41"/>
      <c r="N259" s="41"/>
      <c r="O259" s="41"/>
      <c r="P259" s="41"/>
      <c r="Q259" s="128"/>
      <c r="R259" s="14"/>
      <c r="S259" s="37">
        <v>300000</v>
      </c>
      <c r="T259" s="26">
        <v>285000</v>
      </c>
      <c r="U259" s="27" t="s">
        <v>398</v>
      </c>
      <c r="V259" s="38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</row>
    <row r="260" spans="1:77" s="29" customFormat="1" ht="30" customHeight="1" x14ac:dyDescent="0.25">
      <c r="A260" s="24">
        <v>60430</v>
      </c>
      <c r="B260" s="33"/>
      <c r="C260" s="20"/>
      <c r="D260" s="34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73">
        <f>A260</f>
        <v>60430</v>
      </c>
      <c r="R260" s="15"/>
      <c r="S260" s="40"/>
      <c r="T260" s="113"/>
      <c r="U260" s="15"/>
      <c r="V260" s="15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</row>
    <row r="261" spans="1:77" s="13" customFormat="1" ht="30" customHeight="1" x14ac:dyDescent="0.25">
      <c r="A261" s="17">
        <v>2475000</v>
      </c>
      <c r="B261" s="42" t="s">
        <v>305</v>
      </c>
      <c r="C261" s="43">
        <v>45254</v>
      </c>
      <c r="D261" s="44">
        <v>132</v>
      </c>
      <c r="E261" s="41">
        <v>618750</v>
      </c>
      <c r="F261" s="41">
        <v>213551</v>
      </c>
      <c r="G261" s="41">
        <f>E261-F261</f>
        <v>405199</v>
      </c>
      <c r="H261" s="41">
        <f>G261*18%</f>
        <v>72935.819999999992</v>
      </c>
      <c r="I261" s="41">
        <f>G261+H261</f>
        <v>478134.82</v>
      </c>
      <c r="J261" s="41">
        <f>G261*1%</f>
        <v>4051.9900000000002</v>
      </c>
      <c r="K261" s="41">
        <f>G261*5%</f>
        <v>20259.95</v>
      </c>
      <c r="L261" s="12"/>
      <c r="M261" s="41">
        <f>G261*10%</f>
        <v>40519.9</v>
      </c>
      <c r="N261" s="41">
        <f>H261</f>
        <v>72935.819999999992</v>
      </c>
      <c r="O261" s="41"/>
      <c r="P261" s="41">
        <f>G261-J261-K261-M261</f>
        <v>340367.16</v>
      </c>
      <c r="Q261" s="128"/>
      <c r="R261" s="14" t="s">
        <v>246</v>
      </c>
      <c r="S261" s="37">
        <v>300000</v>
      </c>
      <c r="T261" s="26">
        <f t="shared" ref="T261" si="56">S261-1%*S261</f>
        <v>297000</v>
      </c>
      <c r="U261" s="35" t="s">
        <v>245</v>
      </c>
      <c r="V261" s="35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</row>
    <row r="262" spans="1:77" s="13" customFormat="1" ht="30" customHeight="1" x14ac:dyDescent="0.25">
      <c r="A262" s="59"/>
      <c r="B262" s="42"/>
      <c r="C262" s="43">
        <v>45325</v>
      </c>
      <c r="D262" s="44">
        <v>181</v>
      </c>
      <c r="E262" s="41">
        <v>371250</v>
      </c>
      <c r="F262" s="41">
        <v>0</v>
      </c>
      <c r="G262" s="41">
        <f>E262-F262</f>
        <v>371250</v>
      </c>
      <c r="H262" s="41">
        <f>G262*18%</f>
        <v>66825</v>
      </c>
      <c r="I262" s="41">
        <f>G262+H262</f>
        <v>438075</v>
      </c>
      <c r="J262" s="41">
        <f>G262*1%</f>
        <v>3712.5</v>
      </c>
      <c r="K262" s="41">
        <f>G262*5%</f>
        <v>18562.5</v>
      </c>
      <c r="L262" s="12"/>
      <c r="M262" s="41">
        <v>0</v>
      </c>
      <c r="N262" s="41">
        <f>H262</f>
        <v>66825</v>
      </c>
      <c r="O262" s="41">
        <v>123750</v>
      </c>
      <c r="P262" s="41">
        <f>G262-J262-K262-M262-O262</f>
        <v>225225</v>
      </c>
      <c r="Q262" s="128"/>
      <c r="R262" s="14" t="s">
        <v>263</v>
      </c>
      <c r="S262" s="37">
        <v>500000</v>
      </c>
      <c r="T262" s="26">
        <f t="shared" ref="T262" si="57">S262-1%*S262</f>
        <v>495000</v>
      </c>
      <c r="U262" s="35" t="s">
        <v>262</v>
      </c>
      <c r="V262" s="38">
        <f>SUM(P261:P263)-SUM(T261:T263)</f>
        <v>-701407.84000000008</v>
      </c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</row>
    <row r="263" spans="1:77" s="13" customFormat="1" ht="30" customHeight="1" x14ac:dyDescent="0.25">
      <c r="A263" s="59"/>
      <c r="B263" s="42"/>
      <c r="C263" s="43"/>
      <c r="D263" s="44"/>
      <c r="E263" s="41"/>
      <c r="F263" s="41"/>
      <c r="G263" s="41"/>
      <c r="H263" s="41"/>
      <c r="I263" s="41"/>
      <c r="J263" s="41"/>
      <c r="K263" s="41"/>
      <c r="L263" s="12"/>
      <c r="M263" s="41"/>
      <c r="N263" s="41"/>
      <c r="O263" s="41"/>
      <c r="P263" s="41"/>
      <c r="Q263" s="128"/>
      <c r="R263" s="14"/>
      <c r="S263" s="37">
        <v>500000</v>
      </c>
      <c r="T263" s="26">
        <v>475000</v>
      </c>
      <c r="U263" s="35" t="s">
        <v>397</v>
      </c>
      <c r="V263" s="38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</row>
    <row r="264" spans="1:77" s="29" customFormat="1" ht="30" customHeight="1" x14ac:dyDescent="0.25">
      <c r="A264" s="24">
        <v>60431</v>
      </c>
      <c r="B264" s="33"/>
      <c r="C264" s="20"/>
      <c r="D264" s="34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73">
        <f>A264</f>
        <v>60431</v>
      </c>
      <c r="R264" s="15"/>
      <c r="S264" s="40"/>
      <c r="T264" s="113"/>
      <c r="U264" s="15"/>
      <c r="V264" s="15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</row>
    <row r="265" spans="1:77" s="13" customFormat="1" ht="30" customHeight="1" x14ac:dyDescent="0.25">
      <c r="A265" s="17">
        <v>2250000</v>
      </c>
      <c r="B265" s="42" t="s">
        <v>304</v>
      </c>
      <c r="C265" s="43">
        <v>45254</v>
      </c>
      <c r="D265" s="44">
        <v>135</v>
      </c>
      <c r="E265" s="41">
        <v>562500</v>
      </c>
      <c r="F265" s="41">
        <v>226744</v>
      </c>
      <c r="G265" s="41">
        <f>E265-F265</f>
        <v>335756</v>
      </c>
      <c r="H265" s="41">
        <f>G265*18%</f>
        <v>60436.079999999994</v>
      </c>
      <c r="I265" s="41">
        <f>G265+H265</f>
        <v>396192.08</v>
      </c>
      <c r="J265" s="41">
        <f>G265*1%</f>
        <v>3357.56</v>
      </c>
      <c r="K265" s="41">
        <f>G265*5%</f>
        <v>16787.8</v>
      </c>
      <c r="L265" s="12"/>
      <c r="M265" s="41">
        <f>G265*10%</f>
        <v>33575.599999999999</v>
      </c>
      <c r="N265" s="41">
        <f>H265</f>
        <v>60436.079999999994</v>
      </c>
      <c r="O265" s="41"/>
      <c r="P265" s="41">
        <f>G265-J265-K265-M265</f>
        <v>282035.04000000004</v>
      </c>
      <c r="Q265" s="128"/>
      <c r="R265" s="14" t="s">
        <v>248</v>
      </c>
      <c r="S265" s="37">
        <v>250000</v>
      </c>
      <c r="T265" s="26">
        <f t="shared" ref="T265" si="58">S265-1%*S265</f>
        <v>247500</v>
      </c>
      <c r="U265" s="35" t="s">
        <v>247</v>
      </c>
      <c r="V265" s="35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</row>
    <row r="266" spans="1:77" s="13" customFormat="1" ht="30" customHeight="1" x14ac:dyDescent="0.25">
      <c r="A266" s="59"/>
      <c r="B266" s="42"/>
      <c r="C266" s="43">
        <v>45296</v>
      </c>
      <c r="D266" s="44">
        <v>150</v>
      </c>
      <c r="E266" s="41">
        <v>337500</v>
      </c>
      <c r="F266" s="41">
        <v>201662</v>
      </c>
      <c r="G266" s="41">
        <f>E266-F266</f>
        <v>135838</v>
      </c>
      <c r="H266" s="41">
        <f>G266*18%</f>
        <v>24450.84</v>
      </c>
      <c r="I266" s="41">
        <f>G266+H266</f>
        <v>160288.84</v>
      </c>
      <c r="J266" s="41">
        <f>G266*1%</f>
        <v>1358.38</v>
      </c>
      <c r="K266" s="41">
        <f>G266*5%</f>
        <v>6791.9000000000005</v>
      </c>
      <c r="L266" s="12"/>
      <c r="M266" s="41">
        <f>G266*10%</f>
        <v>13583.800000000001</v>
      </c>
      <c r="N266" s="41">
        <f>H266</f>
        <v>24450.84</v>
      </c>
      <c r="O266" s="41"/>
      <c r="P266" s="41">
        <f>G266-J266-K266-M266</f>
        <v>114103.92</v>
      </c>
      <c r="Q266" s="128"/>
      <c r="R266" s="14" t="s">
        <v>279</v>
      </c>
      <c r="S266" s="37">
        <v>500000</v>
      </c>
      <c r="T266" s="26">
        <f t="shared" ref="T266" si="59">S266-1%*S266</f>
        <v>495000</v>
      </c>
      <c r="U266" s="35" t="s">
        <v>278</v>
      </c>
      <c r="V266" s="38">
        <f>SUM(P265:P268)-SUM(T265:T268)</f>
        <v>-2326361.04</v>
      </c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</row>
    <row r="267" spans="1:77" ht="30" customHeight="1" x14ac:dyDescent="0.25">
      <c r="A267" s="59"/>
      <c r="B267" s="31"/>
      <c r="C267" s="22"/>
      <c r="D267" s="32"/>
      <c r="E267" s="12"/>
      <c r="F267" s="12"/>
      <c r="G267" s="12"/>
      <c r="H267" s="12"/>
      <c r="I267" s="12"/>
      <c r="J267" s="12"/>
      <c r="K267" s="12"/>
      <c r="L267" s="12"/>
      <c r="M267" s="12"/>
      <c r="N267" s="38"/>
      <c r="O267" s="38"/>
      <c r="P267" s="12"/>
      <c r="Q267" s="128"/>
      <c r="R267" s="14"/>
      <c r="S267" s="37">
        <v>100000</v>
      </c>
      <c r="T267" s="26">
        <v>990000</v>
      </c>
      <c r="U267" s="27" t="s">
        <v>381</v>
      </c>
      <c r="V267" s="38"/>
    </row>
    <row r="268" spans="1:77" ht="30" customHeight="1" x14ac:dyDescent="0.25">
      <c r="A268" s="59"/>
      <c r="B268" s="31"/>
      <c r="C268" s="22"/>
      <c r="D268" s="32"/>
      <c r="E268" s="12"/>
      <c r="F268" s="12"/>
      <c r="G268" s="12"/>
      <c r="H268" s="12"/>
      <c r="I268" s="12"/>
      <c r="J268" s="12"/>
      <c r="K268" s="12"/>
      <c r="L268" s="12"/>
      <c r="M268" s="12"/>
      <c r="N268" s="38"/>
      <c r="O268" s="38"/>
      <c r="P268" s="12"/>
      <c r="Q268" s="128"/>
      <c r="R268" s="14"/>
      <c r="S268" s="37"/>
      <c r="T268" s="26">
        <v>990000</v>
      </c>
      <c r="U268" s="2" t="s">
        <v>385</v>
      </c>
      <c r="V268" s="38"/>
      <c r="X268" s="2" t="s">
        <v>389</v>
      </c>
    </row>
    <row r="269" spans="1:77" s="29" customFormat="1" ht="30" customHeight="1" x14ac:dyDescent="0.25">
      <c r="A269" s="60">
        <v>60502</v>
      </c>
      <c r="B269" s="33"/>
      <c r="C269" s="20"/>
      <c r="D269" s="34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73">
        <f>A269</f>
        <v>60502</v>
      </c>
      <c r="R269" s="15"/>
      <c r="S269" s="40"/>
      <c r="T269" s="113"/>
      <c r="U269" s="15"/>
      <c r="V269" s="15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</row>
    <row r="270" spans="1:77" s="13" customFormat="1" ht="30" customHeight="1" x14ac:dyDescent="0.25">
      <c r="A270" s="17">
        <v>3671250</v>
      </c>
      <c r="B270" s="42" t="s">
        <v>303</v>
      </c>
      <c r="C270" s="43">
        <v>45254</v>
      </c>
      <c r="D270" s="44">
        <v>134</v>
      </c>
      <c r="E270" s="41">
        <v>917813</v>
      </c>
      <c r="F270" s="41">
        <v>324226</v>
      </c>
      <c r="G270" s="41">
        <f>E270-F270</f>
        <v>593587</v>
      </c>
      <c r="H270" s="41">
        <f>G270*18%</f>
        <v>106845.65999999999</v>
      </c>
      <c r="I270" s="41">
        <f>G270+H270</f>
        <v>700432.66</v>
      </c>
      <c r="J270" s="41">
        <f>G270*1%</f>
        <v>5935.87</v>
      </c>
      <c r="K270" s="41">
        <f>G270*5%</f>
        <v>29679.350000000002</v>
      </c>
      <c r="L270" s="12"/>
      <c r="M270" s="41">
        <f>G270*10%</f>
        <v>59358.700000000004</v>
      </c>
      <c r="N270" s="41">
        <f>H270</f>
        <v>106845.65999999999</v>
      </c>
      <c r="O270" s="41"/>
      <c r="P270" s="41">
        <f>G270-J270-K270-M270</f>
        <v>498613.08</v>
      </c>
      <c r="Q270" s="128"/>
      <c r="R270" s="14" t="s">
        <v>233</v>
      </c>
      <c r="S270" s="37">
        <v>350000</v>
      </c>
      <c r="T270" s="26">
        <f t="shared" ref="T270" si="60">S270-1%*S270</f>
        <v>346500</v>
      </c>
      <c r="U270" s="27" t="s">
        <v>232</v>
      </c>
      <c r="V270" s="35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</row>
    <row r="271" spans="1:77" s="13" customFormat="1" ht="30" customHeight="1" x14ac:dyDescent="0.25">
      <c r="A271" s="59"/>
      <c r="B271" s="31"/>
      <c r="C271" s="22"/>
      <c r="D271" s="32"/>
      <c r="E271" s="12"/>
      <c r="F271" s="12"/>
      <c r="G271" s="12"/>
      <c r="H271" s="12"/>
      <c r="I271" s="12"/>
      <c r="J271" s="12"/>
      <c r="K271" s="12"/>
      <c r="L271" s="12"/>
      <c r="M271" s="12"/>
      <c r="N271" s="38"/>
      <c r="O271" s="38"/>
      <c r="P271" s="12"/>
      <c r="Q271" s="128"/>
      <c r="R271" s="14" t="s">
        <v>259</v>
      </c>
      <c r="S271" s="37">
        <v>500000</v>
      </c>
      <c r="T271" s="26">
        <f t="shared" ref="T271" si="61">S271-1%*S271</f>
        <v>495000</v>
      </c>
      <c r="U271" s="27" t="s">
        <v>258</v>
      </c>
      <c r="V271" s="38">
        <f>SUM(P270:P274)-SUM(T270:T274)</f>
        <v>-2322886.92</v>
      </c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</row>
    <row r="272" spans="1:77" s="13" customFormat="1" ht="30" customHeight="1" x14ac:dyDescent="0.25">
      <c r="A272" s="59"/>
      <c r="B272" s="31"/>
      <c r="C272" s="22"/>
      <c r="D272" s="32"/>
      <c r="E272" s="12"/>
      <c r="F272" s="12"/>
      <c r="G272" s="12"/>
      <c r="H272" s="12"/>
      <c r="I272" s="12"/>
      <c r="J272" s="12"/>
      <c r="K272" s="12"/>
      <c r="L272" s="12"/>
      <c r="M272" s="12"/>
      <c r="N272" s="38"/>
      <c r="O272" s="38"/>
      <c r="P272" s="12"/>
      <c r="Q272" s="128"/>
      <c r="R272" s="14" t="s">
        <v>281</v>
      </c>
      <c r="S272" s="37">
        <v>500000</v>
      </c>
      <c r="T272" s="26">
        <f t="shared" ref="T272" si="62">S272-1%*S272</f>
        <v>495000</v>
      </c>
      <c r="U272" s="27" t="s">
        <v>280</v>
      </c>
      <c r="V272" s="38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</row>
    <row r="273" spans="1:22" ht="30" customHeight="1" x14ac:dyDescent="0.25">
      <c r="A273" s="59"/>
      <c r="B273" s="31"/>
      <c r="C273" s="22"/>
      <c r="D273" s="32"/>
      <c r="E273" s="12"/>
      <c r="F273" s="12"/>
      <c r="G273" s="12"/>
      <c r="H273" s="12"/>
      <c r="I273" s="12"/>
      <c r="J273" s="12"/>
      <c r="K273" s="12"/>
      <c r="L273" s="12"/>
      <c r="M273" s="12"/>
      <c r="N273" s="38"/>
      <c r="O273" s="38"/>
      <c r="P273" s="12"/>
      <c r="Q273" s="128"/>
      <c r="R273" s="14" t="s">
        <v>371</v>
      </c>
      <c r="S273" s="37">
        <v>500000</v>
      </c>
      <c r="T273" s="26">
        <f t="shared" ref="T273" si="63">S273-1%*S273</f>
        <v>495000</v>
      </c>
      <c r="U273" s="27" t="s">
        <v>370</v>
      </c>
      <c r="V273" s="38"/>
    </row>
    <row r="274" spans="1:22" ht="30" customHeight="1" x14ac:dyDescent="0.25">
      <c r="A274" s="59"/>
      <c r="B274" s="31"/>
      <c r="C274" s="22"/>
      <c r="D274" s="32"/>
      <c r="E274" s="12"/>
      <c r="F274" s="12"/>
      <c r="G274" s="12"/>
      <c r="H274" s="12"/>
      <c r="I274" s="12"/>
      <c r="J274" s="12"/>
      <c r="K274" s="12"/>
      <c r="L274" s="12"/>
      <c r="M274" s="12"/>
      <c r="N274" s="38"/>
      <c r="O274" s="38"/>
      <c r="P274" s="12"/>
      <c r="Q274" s="128"/>
      <c r="R274" s="14"/>
      <c r="S274" s="37">
        <v>1000000</v>
      </c>
      <c r="T274" s="26">
        <v>990000</v>
      </c>
      <c r="U274" s="27" t="s">
        <v>380</v>
      </c>
      <c r="V274" s="38"/>
    </row>
    <row r="275" spans="1:22" ht="30" customHeight="1" x14ac:dyDescent="0.25">
      <c r="A275" s="60">
        <v>60816</v>
      </c>
      <c r="B275" s="33"/>
      <c r="C275" s="20"/>
      <c r="D275" s="34"/>
      <c r="E275" s="16"/>
      <c r="F275" s="16"/>
      <c r="G275" s="16"/>
      <c r="H275" s="16"/>
      <c r="I275" s="16"/>
      <c r="J275" s="16"/>
      <c r="K275" s="16"/>
      <c r="L275" s="16"/>
      <c r="M275" s="16"/>
      <c r="N275" s="39"/>
      <c r="O275" s="39"/>
      <c r="P275" s="16"/>
      <c r="Q275" s="73">
        <f>A275</f>
        <v>60816</v>
      </c>
      <c r="R275" s="15"/>
      <c r="S275" s="40"/>
      <c r="T275" s="56"/>
      <c r="U275" s="28"/>
      <c r="V275" s="39"/>
    </row>
    <row r="276" spans="1:22" ht="30" customHeight="1" x14ac:dyDescent="0.25">
      <c r="A276" s="59">
        <v>3150000</v>
      </c>
      <c r="B276" s="31" t="s">
        <v>295</v>
      </c>
      <c r="C276" s="22">
        <v>45263</v>
      </c>
      <c r="D276" s="32">
        <v>139</v>
      </c>
      <c r="E276" s="12">
        <v>787500</v>
      </c>
      <c r="F276" s="12">
        <v>229786.48</v>
      </c>
      <c r="G276" s="41">
        <f>E276-F276</f>
        <v>557713.52</v>
      </c>
      <c r="H276" s="41">
        <f>G276*18%</f>
        <v>100388.4336</v>
      </c>
      <c r="I276" s="41">
        <f>G276+H276</f>
        <v>658101.95360000001</v>
      </c>
      <c r="J276" s="41">
        <f>G276*1%</f>
        <v>5577.1352000000006</v>
      </c>
      <c r="K276" s="41">
        <f>G276*5%</f>
        <v>27885.676000000003</v>
      </c>
      <c r="L276" s="12"/>
      <c r="M276" s="41">
        <f>G276*10%</f>
        <v>55771.352000000006</v>
      </c>
      <c r="N276" s="41">
        <f>H276</f>
        <v>100388.4336</v>
      </c>
      <c r="O276" s="41"/>
      <c r="P276" s="41">
        <f>G276-J276-K276-M276</f>
        <v>468479.35680000001</v>
      </c>
      <c r="Q276" s="128"/>
      <c r="R276" s="14" t="s">
        <v>372</v>
      </c>
      <c r="S276" s="37">
        <v>450000</v>
      </c>
      <c r="T276" s="26">
        <v>445500</v>
      </c>
      <c r="U276" s="27" t="s">
        <v>296</v>
      </c>
      <c r="V276" s="38"/>
    </row>
    <row r="277" spans="1:22" ht="30" customHeight="1" x14ac:dyDescent="0.25">
      <c r="A277" s="59"/>
      <c r="B277" s="31"/>
      <c r="C277" s="22"/>
      <c r="D277" s="32"/>
      <c r="E277" s="12"/>
      <c r="F277" s="12"/>
      <c r="G277" s="12"/>
      <c r="H277" s="12"/>
      <c r="I277" s="12"/>
      <c r="J277" s="12"/>
      <c r="K277" s="12"/>
      <c r="L277" s="12"/>
      <c r="M277" s="12"/>
      <c r="N277" s="38"/>
      <c r="O277" s="38"/>
      <c r="P277" s="12"/>
      <c r="Q277" s="128"/>
      <c r="R277" s="14" t="s">
        <v>373</v>
      </c>
      <c r="S277" s="37">
        <v>1000000</v>
      </c>
      <c r="T277" s="26">
        <v>990000</v>
      </c>
      <c r="U277" s="27" t="s">
        <v>297</v>
      </c>
      <c r="V277" s="38"/>
    </row>
    <row r="278" spans="1:22" ht="30" customHeight="1" x14ac:dyDescent="0.25">
      <c r="A278" s="59"/>
      <c r="B278" s="31"/>
      <c r="C278" s="22"/>
      <c r="D278" s="32"/>
      <c r="E278" s="12"/>
      <c r="F278" s="12"/>
      <c r="G278" s="12"/>
      <c r="H278" s="12"/>
      <c r="I278" s="12"/>
      <c r="J278" s="12"/>
      <c r="K278" s="12"/>
      <c r="L278" s="12"/>
      <c r="M278" s="12"/>
      <c r="N278" s="38"/>
      <c r="O278" s="38"/>
      <c r="P278" s="12"/>
      <c r="Q278" s="128"/>
      <c r="R278" s="14" t="s">
        <v>375</v>
      </c>
      <c r="S278" s="37">
        <v>500000</v>
      </c>
      <c r="T278" s="26">
        <f t="shared" ref="T278" si="64">S278-1%*S278</f>
        <v>495000</v>
      </c>
      <c r="U278" s="27" t="s">
        <v>374</v>
      </c>
      <c r="V278" s="38"/>
    </row>
    <row r="279" spans="1:22" ht="30" customHeight="1" x14ac:dyDescent="0.25">
      <c r="A279" s="59"/>
      <c r="B279" s="31"/>
      <c r="C279" s="22"/>
      <c r="D279" s="32"/>
      <c r="E279" s="12"/>
      <c r="F279" s="12"/>
      <c r="G279" s="12"/>
      <c r="H279" s="12"/>
      <c r="I279" s="12"/>
      <c r="J279" s="12"/>
      <c r="K279" s="12"/>
      <c r="L279" s="12"/>
      <c r="M279" s="12"/>
      <c r="N279" s="38"/>
      <c r="O279" s="38"/>
      <c r="P279" s="12"/>
      <c r="Q279" s="128"/>
      <c r="R279" s="14"/>
      <c r="S279" s="37">
        <v>500000</v>
      </c>
      <c r="T279" s="26">
        <v>495000</v>
      </c>
      <c r="U279" s="27" t="s">
        <v>379</v>
      </c>
      <c r="V279" s="38">
        <f>SUM(P276:P280)-SUM(T276:T280)</f>
        <v>-2947020.6431999998</v>
      </c>
    </row>
    <row r="280" spans="1:22" ht="30" customHeight="1" x14ac:dyDescent="0.25">
      <c r="A280" s="59"/>
      <c r="B280" s="31"/>
      <c r="C280" s="22"/>
      <c r="D280" s="32"/>
      <c r="E280" s="12"/>
      <c r="F280" s="12"/>
      <c r="G280" s="12"/>
      <c r="H280" s="12"/>
      <c r="I280" s="12"/>
      <c r="J280" s="12"/>
      <c r="K280" s="12"/>
      <c r="L280" s="12"/>
      <c r="M280" s="12"/>
      <c r="N280" s="38"/>
      <c r="O280" s="38"/>
      <c r="P280" s="12"/>
      <c r="Q280" s="128"/>
      <c r="R280" s="14"/>
      <c r="S280" s="37">
        <v>1000000</v>
      </c>
      <c r="T280" s="26">
        <v>990000</v>
      </c>
      <c r="U280" s="27" t="s">
        <v>384</v>
      </c>
      <c r="V280" s="38"/>
    </row>
    <row r="281" spans="1:22" ht="30" customHeight="1" x14ac:dyDescent="0.25">
      <c r="A281" s="24">
        <v>61849</v>
      </c>
      <c r="B281" s="33"/>
      <c r="C281" s="20"/>
      <c r="D281" s="34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73">
        <f>A281</f>
        <v>61849</v>
      </c>
      <c r="R281" s="15"/>
      <c r="S281" s="40"/>
      <c r="T281" s="113"/>
      <c r="U281" s="15"/>
      <c r="V281" s="35"/>
    </row>
    <row r="282" spans="1:22" ht="30" customHeight="1" x14ac:dyDescent="0.25">
      <c r="A282" s="17">
        <v>2475000</v>
      </c>
      <c r="B282" s="42" t="s">
        <v>377</v>
      </c>
      <c r="C282" s="43">
        <v>45296</v>
      </c>
      <c r="D282" s="44">
        <v>153</v>
      </c>
      <c r="E282" s="41">
        <v>495000</v>
      </c>
      <c r="F282" s="41">
        <v>147497</v>
      </c>
      <c r="G282" s="41">
        <f>E282-F282</f>
        <v>347503</v>
      </c>
      <c r="H282" s="41">
        <f>G282*18%</f>
        <v>62550.54</v>
      </c>
      <c r="I282" s="41">
        <f>G282+H282</f>
        <v>410053.54</v>
      </c>
      <c r="J282" s="41">
        <f>G282*1%</f>
        <v>3475.03</v>
      </c>
      <c r="K282" s="41">
        <f>G282*5%</f>
        <v>17375.150000000001</v>
      </c>
      <c r="L282" s="12"/>
      <c r="M282" s="41">
        <f>G282*10%</f>
        <v>34750.300000000003</v>
      </c>
      <c r="N282" s="41">
        <f>H282</f>
        <v>62550.54</v>
      </c>
      <c r="O282" s="41"/>
      <c r="P282" s="41">
        <f>G282-J282-K282-M282</f>
        <v>291902.51999999996</v>
      </c>
      <c r="Q282" s="128"/>
      <c r="R282" s="14" t="s">
        <v>269</v>
      </c>
      <c r="S282" s="37">
        <v>1000000</v>
      </c>
      <c r="T282" s="26">
        <f t="shared" ref="T282:T283" si="65">S282-1%*S282</f>
        <v>990000</v>
      </c>
      <c r="U282" s="27" t="s">
        <v>272</v>
      </c>
      <c r="V282" s="14"/>
    </row>
    <row r="283" spans="1:22" ht="30" customHeight="1" x14ac:dyDescent="0.25">
      <c r="A283" s="17"/>
      <c r="B283" s="42"/>
      <c r="C283" s="43"/>
      <c r="D283" s="44"/>
      <c r="E283" s="41"/>
      <c r="F283" s="41"/>
      <c r="G283" s="41"/>
      <c r="H283" s="41"/>
      <c r="I283" s="41"/>
      <c r="J283" s="41"/>
      <c r="K283" s="41"/>
      <c r="L283" s="12"/>
      <c r="M283" s="41"/>
      <c r="N283" s="41"/>
      <c r="O283" s="41"/>
      <c r="P283" s="41"/>
      <c r="Q283" s="128"/>
      <c r="R283" s="14"/>
      <c r="S283" s="37">
        <v>500000</v>
      </c>
      <c r="T283" s="26">
        <f t="shared" si="65"/>
        <v>495000</v>
      </c>
      <c r="U283" s="27" t="s">
        <v>378</v>
      </c>
      <c r="V283" s="14"/>
    </row>
    <row r="284" spans="1:22" ht="30" customHeight="1" x14ac:dyDescent="0.25">
      <c r="A284" s="59"/>
      <c r="B284" s="31"/>
      <c r="C284" s="22"/>
      <c r="D284" s="32"/>
      <c r="E284" s="12"/>
      <c r="F284" s="12"/>
      <c r="G284" s="12"/>
      <c r="H284" s="12"/>
      <c r="I284" s="12"/>
      <c r="J284" s="12"/>
      <c r="K284" s="12"/>
      <c r="L284" s="12"/>
      <c r="M284" s="12"/>
      <c r="N284" s="38"/>
      <c r="O284" s="38"/>
      <c r="P284" s="12"/>
      <c r="Q284" s="128"/>
      <c r="R284" s="14"/>
      <c r="S284" s="37">
        <v>200000</v>
      </c>
      <c r="T284" s="26">
        <v>190000</v>
      </c>
      <c r="U284" s="27" t="s">
        <v>396</v>
      </c>
      <c r="V284" s="38"/>
    </row>
    <row r="285" spans="1:22" ht="30" customHeight="1" x14ac:dyDescent="0.25">
      <c r="A285" s="59"/>
      <c r="B285" s="31"/>
      <c r="C285" s="22"/>
      <c r="D285" s="32"/>
      <c r="E285" s="12"/>
      <c r="F285" s="12"/>
      <c r="G285" s="12"/>
      <c r="H285" s="12"/>
      <c r="I285" s="12"/>
      <c r="J285" s="12"/>
      <c r="K285" s="12"/>
      <c r="L285" s="12"/>
      <c r="M285" s="12"/>
      <c r="N285" s="38"/>
      <c r="O285" s="38"/>
      <c r="P285" s="12"/>
      <c r="Q285" s="128"/>
      <c r="R285" s="14"/>
      <c r="S285" s="37">
        <v>200000</v>
      </c>
      <c r="T285" s="26">
        <v>190000</v>
      </c>
      <c r="U285" s="27" t="s">
        <v>406</v>
      </c>
      <c r="V285" s="38"/>
    </row>
    <row r="286" spans="1:22" ht="30" customHeight="1" x14ac:dyDescent="0.25">
      <c r="A286" s="24">
        <v>61850</v>
      </c>
      <c r="B286" s="33"/>
      <c r="C286" s="20"/>
      <c r="D286" s="34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73">
        <f>A286</f>
        <v>61850</v>
      </c>
      <c r="R286" s="15"/>
      <c r="S286" s="40"/>
      <c r="T286" s="113"/>
      <c r="U286" s="15"/>
      <c r="V286" s="38">
        <f>SUM(P282:P285)-SUM(T282:T285)</f>
        <v>-1573097.48</v>
      </c>
    </row>
    <row r="287" spans="1:22" ht="30" customHeight="1" x14ac:dyDescent="0.25">
      <c r="A287" s="17">
        <v>2250000</v>
      </c>
      <c r="B287" s="42" t="s">
        <v>301</v>
      </c>
      <c r="C287" s="43">
        <v>45296</v>
      </c>
      <c r="D287" s="44">
        <v>152</v>
      </c>
      <c r="E287" s="41">
        <v>562500</v>
      </c>
      <c r="F287" s="41">
        <v>187330</v>
      </c>
      <c r="G287" s="41">
        <f>E287-F287</f>
        <v>375170</v>
      </c>
      <c r="H287" s="41">
        <f>G287*18%</f>
        <v>67530.599999999991</v>
      </c>
      <c r="I287" s="41">
        <f>G287+H287</f>
        <v>442700.6</v>
      </c>
      <c r="J287" s="41">
        <f>G287*1%</f>
        <v>3751.7000000000003</v>
      </c>
      <c r="K287" s="41">
        <f>G287*5%</f>
        <v>18758.5</v>
      </c>
      <c r="L287" s="12"/>
      <c r="M287" s="41">
        <f>G287*10%</f>
        <v>37517</v>
      </c>
      <c r="N287" s="41">
        <f>H287</f>
        <v>67530.599999999991</v>
      </c>
      <c r="O287" s="41"/>
      <c r="P287" s="41">
        <f>G287-J287-K287-M287</f>
        <v>315142.8</v>
      </c>
      <c r="Q287" s="128"/>
      <c r="R287" s="14" t="s">
        <v>275</v>
      </c>
      <c r="S287" s="37">
        <v>1000000</v>
      </c>
      <c r="T287" s="26">
        <f t="shared" ref="T287" si="66">S287-1%*S287</f>
        <v>990000</v>
      </c>
      <c r="U287" s="27" t="s">
        <v>274</v>
      </c>
      <c r="V287" s="14"/>
    </row>
    <row r="288" spans="1:22" ht="30" customHeight="1" x14ac:dyDescent="0.25">
      <c r="A288" s="17"/>
      <c r="B288" s="42"/>
      <c r="C288" s="43"/>
      <c r="D288" s="44"/>
      <c r="E288" s="41"/>
      <c r="F288" s="41"/>
      <c r="G288" s="41"/>
      <c r="H288" s="41"/>
      <c r="I288" s="41"/>
      <c r="J288" s="41"/>
      <c r="K288" s="41"/>
      <c r="L288" s="12"/>
      <c r="M288" s="41"/>
      <c r="N288" s="41"/>
      <c r="O288" s="41"/>
      <c r="P288" s="41"/>
      <c r="Q288" s="128"/>
      <c r="R288" s="14" t="s">
        <v>367</v>
      </c>
      <c r="S288" s="37">
        <v>500000</v>
      </c>
      <c r="T288" s="26">
        <f t="shared" ref="T288" si="67">S288-1%*S288</f>
        <v>495000</v>
      </c>
      <c r="U288" s="27" t="s">
        <v>366</v>
      </c>
      <c r="V288" s="14"/>
    </row>
    <row r="289" spans="1:24" ht="30" customHeight="1" x14ac:dyDescent="0.25">
      <c r="A289" s="17"/>
      <c r="B289" s="42"/>
      <c r="C289" s="43"/>
      <c r="D289" s="44"/>
      <c r="E289" s="41"/>
      <c r="F289" s="41"/>
      <c r="G289" s="41"/>
      <c r="H289" s="41"/>
      <c r="I289" s="41"/>
      <c r="J289" s="41"/>
      <c r="K289" s="41"/>
      <c r="L289" s="12"/>
      <c r="M289" s="41"/>
      <c r="N289" s="41"/>
      <c r="O289" s="41"/>
      <c r="P289" s="41"/>
      <c r="Q289" s="128"/>
      <c r="R289" s="14"/>
      <c r="S289" s="102">
        <v>200000</v>
      </c>
      <c r="T289" s="100">
        <v>380000</v>
      </c>
      <c r="U289" s="27" t="s">
        <v>415</v>
      </c>
      <c r="V289" s="101"/>
      <c r="W289" s="26">
        <v>190000</v>
      </c>
      <c r="X289" s="27" t="s">
        <v>396</v>
      </c>
    </row>
    <row r="290" spans="1:24" ht="30" customHeight="1" x14ac:dyDescent="0.25">
      <c r="A290" s="17"/>
      <c r="B290" s="42"/>
      <c r="C290" s="43"/>
      <c r="D290" s="44"/>
      <c r="E290" s="41"/>
      <c r="F290" s="41"/>
      <c r="G290" s="41"/>
      <c r="H290" s="41"/>
      <c r="I290" s="41"/>
      <c r="J290" s="41"/>
      <c r="K290" s="41"/>
      <c r="L290" s="12"/>
      <c r="M290" s="41"/>
      <c r="N290" s="41"/>
      <c r="O290" s="41"/>
      <c r="P290" s="41"/>
      <c r="Q290" s="128"/>
      <c r="R290" s="14"/>
      <c r="S290" s="102"/>
      <c r="T290" s="115"/>
      <c r="U290" s="103"/>
      <c r="V290" s="101"/>
    </row>
    <row r="291" spans="1:24" ht="30" customHeight="1" x14ac:dyDescent="0.25">
      <c r="A291" s="24">
        <v>61851</v>
      </c>
      <c r="B291" s="33"/>
      <c r="C291" s="20"/>
      <c r="D291" s="34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73">
        <f>A291</f>
        <v>61851</v>
      </c>
      <c r="R291" s="15"/>
      <c r="S291" s="40"/>
      <c r="T291" s="113"/>
      <c r="U291" s="15"/>
      <c r="V291" s="38">
        <f>SUM(P287:P290)-SUM(T287:T290)</f>
        <v>-1549857.2</v>
      </c>
    </row>
    <row r="292" spans="1:24" ht="30" customHeight="1" x14ac:dyDescent="0.25">
      <c r="A292" s="17">
        <v>3040000</v>
      </c>
      <c r="B292" s="42" t="s">
        <v>298</v>
      </c>
      <c r="C292" s="43">
        <v>45296</v>
      </c>
      <c r="D292" s="44">
        <v>147</v>
      </c>
      <c r="E292" s="41">
        <v>760000</v>
      </c>
      <c r="F292" s="41">
        <v>305524</v>
      </c>
      <c r="G292" s="41">
        <f>E292-F292</f>
        <v>454476</v>
      </c>
      <c r="H292" s="41">
        <f>G292*18%</f>
        <v>81805.679999999993</v>
      </c>
      <c r="I292" s="41">
        <f>G292+H292</f>
        <v>536281.67999999993</v>
      </c>
      <c r="J292" s="41">
        <f>G292*1%</f>
        <v>4544.76</v>
      </c>
      <c r="K292" s="41">
        <f>G292*5%</f>
        <v>22723.800000000003</v>
      </c>
      <c r="L292" s="12"/>
      <c r="M292" s="41">
        <f>G292*10%</f>
        <v>45447.600000000006</v>
      </c>
      <c r="N292" s="41">
        <f>H292</f>
        <v>81805.679999999993</v>
      </c>
      <c r="O292" s="41"/>
      <c r="P292" s="41">
        <f>G292-J292-K292-M292</f>
        <v>381759.83999999997</v>
      </c>
      <c r="Q292" s="128"/>
      <c r="R292" s="14" t="s">
        <v>269</v>
      </c>
      <c r="S292" s="37">
        <v>1000000</v>
      </c>
      <c r="T292" s="26">
        <f t="shared" ref="T292:T294" si="68">S292-1%*S292</f>
        <v>990000</v>
      </c>
      <c r="U292" s="27" t="s">
        <v>273</v>
      </c>
      <c r="V292" s="14"/>
    </row>
    <row r="293" spans="1:24" ht="30" customHeight="1" x14ac:dyDescent="0.25">
      <c r="A293" s="17"/>
      <c r="B293" s="42"/>
      <c r="C293" s="43"/>
      <c r="D293" s="44"/>
      <c r="E293" s="41"/>
      <c r="F293" s="41"/>
      <c r="G293" s="41"/>
      <c r="H293" s="41"/>
      <c r="I293" s="41"/>
      <c r="J293" s="41"/>
      <c r="K293" s="41"/>
      <c r="L293" s="12"/>
      <c r="M293" s="41"/>
      <c r="N293" s="41"/>
      <c r="O293" s="41"/>
      <c r="P293" s="41"/>
      <c r="Q293" s="128"/>
      <c r="R293" s="14"/>
      <c r="S293" s="64">
        <v>700000</v>
      </c>
      <c r="T293" s="26">
        <f t="shared" si="68"/>
        <v>693000</v>
      </c>
      <c r="U293" s="55" t="s">
        <v>294</v>
      </c>
      <c r="V293" s="14"/>
    </row>
    <row r="294" spans="1:24" ht="30" customHeight="1" x14ac:dyDescent="0.25">
      <c r="A294" s="59"/>
      <c r="B294" s="42"/>
      <c r="C294" s="43"/>
      <c r="D294" s="44"/>
      <c r="E294" s="41"/>
      <c r="F294" s="41"/>
      <c r="G294" s="41"/>
      <c r="H294" s="41"/>
      <c r="I294" s="41"/>
      <c r="J294" s="41"/>
      <c r="K294" s="41"/>
      <c r="L294" s="12"/>
      <c r="M294" s="41"/>
      <c r="N294" s="41"/>
      <c r="O294" s="41"/>
      <c r="P294" s="41"/>
      <c r="Q294" s="128"/>
      <c r="R294" s="35"/>
      <c r="S294" s="64">
        <v>200000</v>
      </c>
      <c r="T294" s="26">
        <f t="shared" si="68"/>
        <v>198000</v>
      </c>
      <c r="U294" s="55" t="s">
        <v>376</v>
      </c>
      <c r="V294" s="14"/>
    </row>
    <row r="295" spans="1:24" ht="30" customHeight="1" x14ac:dyDescent="0.25">
      <c r="A295" s="59"/>
      <c r="B295" s="42"/>
      <c r="C295" s="43"/>
      <c r="D295" s="44"/>
      <c r="E295" s="41"/>
      <c r="F295" s="41"/>
      <c r="G295" s="41"/>
      <c r="H295" s="41"/>
      <c r="I295" s="41"/>
      <c r="J295" s="41"/>
      <c r="K295" s="41"/>
      <c r="L295" s="12"/>
      <c r="M295" s="41"/>
      <c r="N295" s="41"/>
      <c r="O295" s="41"/>
      <c r="P295" s="41"/>
      <c r="Q295" s="128"/>
      <c r="R295" s="35" t="s">
        <v>408</v>
      </c>
      <c r="S295" s="64">
        <v>500000</v>
      </c>
      <c r="T295" s="26">
        <v>475000</v>
      </c>
      <c r="U295" s="55" t="s">
        <v>407</v>
      </c>
      <c r="V295" s="14"/>
    </row>
    <row r="296" spans="1:24" ht="30" customHeight="1" x14ac:dyDescent="0.25">
      <c r="A296" s="59"/>
      <c r="B296" s="42"/>
      <c r="C296" s="43"/>
      <c r="D296" s="44"/>
      <c r="E296" s="41"/>
      <c r="F296" s="41"/>
      <c r="G296" s="41"/>
      <c r="H296" s="41"/>
      <c r="I296" s="41"/>
      <c r="J296" s="41"/>
      <c r="K296" s="41"/>
      <c r="L296" s="12"/>
      <c r="M296" s="41"/>
      <c r="N296" s="41"/>
      <c r="O296" s="41"/>
      <c r="P296" s="41"/>
      <c r="Q296" s="128"/>
      <c r="R296" s="35"/>
      <c r="S296" s="64"/>
      <c r="T296" s="26"/>
      <c r="U296" s="55"/>
      <c r="V296" s="14"/>
    </row>
    <row r="297" spans="1:24" ht="30" customHeight="1" x14ac:dyDescent="0.25">
      <c r="A297" s="24">
        <v>62126</v>
      </c>
      <c r="B297" s="33"/>
      <c r="C297" s="20"/>
      <c r="D297" s="34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73">
        <f>A297</f>
        <v>62126</v>
      </c>
      <c r="R297" s="15"/>
      <c r="S297" s="40"/>
      <c r="T297" s="113"/>
      <c r="U297" s="15"/>
      <c r="V297" s="38">
        <f>SUM(P292:P296)-SUM(T292:T296)</f>
        <v>-1974240.1600000001</v>
      </c>
    </row>
    <row r="298" spans="1:24" ht="30" customHeight="1" x14ac:dyDescent="0.25">
      <c r="A298" s="59">
        <v>5000000</v>
      </c>
      <c r="B298" s="42" t="s">
        <v>300</v>
      </c>
      <c r="C298" s="43">
        <v>45318</v>
      </c>
      <c r="D298" s="44">
        <v>176</v>
      </c>
      <c r="E298" s="41">
        <v>1000000</v>
      </c>
      <c r="F298" s="41">
        <v>352439</v>
      </c>
      <c r="G298" s="41">
        <f>E298-F298</f>
        <v>647561</v>
      </c>
      <c r="H298" s="41">
        <f>G298*18%</f>
        <v>116560.98</v>
      </c>
      <c r="I298" s="41">
        <f>G298+H298</f>
        <v>764121.98</v>
      </c>
      <c r="J298" s="41">
        <f>G298*1%</f>
        <v>6475.6100000000006</v>
      </c>
      <c r="K298" s="41">
        <f>G298*5%</f>
        <v>32378.050000000003</v>
      </c>
      <c r="L298" s="12"/>
      <c r="M298" s="41">
        <v>0</v>
      </c>
      <c r="N298" s="41">
        <f>H298</f>
        <v>116560.98</v>
      </c>
      <c r="O298" s="41"/>
      <c r="P298" s="41">
        <f>G298-J298-K298-M298</f>
        <v>608707.34</v>
      </c>
      <c r="Q298" s="128" t="s">
        <v>416</v>
      </c>
      <c r="R298" s="14" t="s">
        <v>283</v>
      </c>
      <c r="S298" s="37">
        <v>300000</v>
      </c>
      <c r="T298" s="26">
        <f t="shared" ref="T298" si="69">S298-1%*S298</f>
        <v>297000</v>
      </c>
      <c r="U298" s="27" t="s">
        <v>282</v>
      </c>
      <c r="V298" s="14"/>
    </row>
    <row r="299" spans="1:24" ht="30" customHeight="1" x14ac:dyDescent="0.25">
      <c r="A299" s="17"/>
      <c r="B299" s="42"/>
      <c r="C299" s="43"/>
      <c r="D299" s="44"/>
      <c r="E299" s="41"/>
      <c r="F299" s="41"/>
      <c r="G299" s="41"/>
      <c r="H299" s="41"/>
      <c r="I299" s="41"/>
      <c r="J299" s="41"/>
      <c r="K299" s="41"/>
      <c r="L299" s="12"/>
      <c r="M299" s="41"/>
      <c r="N299" s="41"/>
      <c r="O299" s="41"/>
      <c r="P299" s="41"/>
      <c r="Q299" s="128"/>
      <c r="R299" s="14" t="s">
        <v>287</v>
      </c>
      <c r="S299" s="37">
        <v>200000</v>
      </c>
      <c r="T299" s="26">
        <f t="shared" ref="T299" si="70">S299-1%*S299</f>
        <v>198000</v>
      </c>
      <c r="U299" s="27" t="s">
        <v>286</v>
      </c>
      <c r="V299" s="14"/>
    </row>
    <row r="300" spans="1:24" ht="30" customHeight="1" x14ac:dyDescent="0.25">
      <c r="A300" s="59"/>
      <c r="B300" s="42"/>
      <c r="C300" s="43"/>
      <c r="D300" s="44"/>
      <c r="E300" s="41"/>
      <c r="F300" s="41"/>
      <c r="G300" s="41"/>
      <c r="H300" s="41"/>
      <c r="I300" s="41"/>
      <c r="J300" s="41"/>
      <c r="K300" s="41"/>
      <c r="L300" s="12"/>
      <c r="M300" s="41"/>
      <c r="N300" s="41"/>
      <c r="O300" s="41"/>
      <c r="P300" s="41"/>
      <c r="Q300" s="128"/>
      <c r="R300" s="14" t="s">
        <v>369</v>
      </c>
      <c r="S300" s="37">
        <v>1000000</v>
      </c>
      <c r="T300" s="26">
        <f t="shared" ref="T300" si="71">S300-1%*S300</f>
        <v>990000</v>
      </c>
      <c r="U300" s="27" t="s">
        <v>368</v>
      </c>
      <c r="V300" s="14"/>
    </row>
    <row r="301" spans="1:24" ht="30" customHeight="1" x14ac:dyDescent="0.25">
      <c r="A301" s="59"/>
      <c r="B301" s="42"/>
      <c r="C301" s="43"/>
      <c r="D301" s="44"/>
      <c r="E301" s="41"/>
      <c r="F301" s="41"/>
      <c r="G301" s="41"/>
      <c r="H301" s="41"/>
      <c r="I301" s="41"/>
      <c r="J301" s="41"/>
      <c r="K301" s="41"/>
      <c r="L301" s="12"/>
      <c r="M301" s="41"/>
      <c r="N301" s="41"/>
      <c r="O301" s="41"/>
      <c r="P301" s="41"/>
      <c r="Q301" s="128"/>
      <c r="R301" s="14"/>
      <c r="S301" s="37">
        <v>500000</v>
      </c>
      <c r="T301" s="26">
        <v>495000</v>
      </c>
      <c r="U301" s="14" t="s">
        <v>383</v>
      </c>
      <c r="V301" s="14"/>
    </row>
    <row r="302" spans="1:24" ht="30" customHeight="1" x14ac:dyDescent="0.25">
      <c r="A302" s="59"/>
      <c r="B302" s="42"/>
      <c r="C302" s="43"/>
      <c r="D302" s="44"/>
      <c r="E302" s="41"/>
      <c r="F302" s="41"/>
      <c r="G302" s="41"/>
      <c r="H302" s="41"/>
      <c r="I302" s="41"/>
      <c r="J302" s="41"/>
      <c r="K302" s="41"/>
      <c r="L302" s="12"/>
      <c r="M302" s="41"/>
      <c r="N302" s="41"/>
      <c r="O302" s="41"/>
      <c r="P302" s="41"/>
      <c r="Q302" s="128"/>
      <c r="R302" s="14"/>
      <c r="S302" s="37"/>
      <c r="T302" s="26">
        <v>285000</v>
      </c>
      <c r="U302" s="27" t="s">
        <v>405</v>
      </c>
      <c r="V302" s="14"/>
    </row>
    <row r="303" spans="1:24" ht="30" customHeight="1" x14ac:dyDescent="0.25">
      <c r="A303" s="24">
        <v>62127</v>
      </c>
      <c r="B303" s="33"/>
      <c r="C303" s="20"/>
      <c r="D303" s="34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73">
        <f>A303</f>
        <v>62127</v>
      </c>
      <c r="R303" s="15"/>
      <c r="S303" s="40"/>
      <c r="T303" s="113"/>
      <c r="U303" s="15"/>
      <c r="V303" s="38">
        <f>SUM(P298:P300)-SUM(T298:T302)</f>
        <v>-1656292.6600000001</v>
      </c>
    </row>
    <row r="304" spans="1:24" ht="39" customHeight="1" x14ac:dyDescent="0.25">
      <c r="A304" s="59">
        <v>2250000</v>
      </c>
      <c r="B304" s="42" t="s">
        <v>299</v>
      </c>
      <c r="C304" s="43">
        <v>45318</v>
      </c>
      <c r="D304" s="44">
        <v>176</v>
      </c>
      <c r="E304" s="41">
        <v>450000</v>
      </c>
      <c r="F304" s="41">
        <v>0</v>
      </c>
      <c r="G304" s="41">
        <f>E304-F304</f>
        <v>450000</v>
      </c>
      <c r="H304" s="12">
        <f>G304*18%</f>
        <v>81000</v>
      </c>
      <c r="I304" s="41">
        <f>G304+H304</f>
        <v>531000</v>
      </c>
      <c r="J304" s="41">
        <f>G304*1%</f>
        <v>4500</v>
      </c>
      <c r="K304" s="41">
        <f>G304*5%</f>
        <v>22500</v>
      </c>
      <c r="L304" s="12"/>
      <c r="M304" s="41">
        <v>0</v>
      </c>
      <c r="N304" s="41">
        <f>H304</f>
        <v>81000</v>
      </c>
      <c r="O304" s="41"/>
      <c r="P304" s="41">
        <f>G304-J304-K304-M304</f>
        <v>423000</v>
      </c>
      <c r="Q304" s="128" t="s">
        <v>416</v>
      </c>
      <c r="R304" s="14" t="s">
        <v>285</v>
      </c>
      <c r="S304" s="37">
        <v>400000</v>
      </c>
      <c r="T304" s="26">
        <f t="shared" ref="T304" si="72">S304-1%*S304</f>
        <v>396000</v>
      </c>
      <c r="U304" s="27" t="s">
        <v>284</v>
      </c>
      <c r="V304" s="14"/>
    </row>
    <row r="305" spans="1:22" ht="39" customHeight="1" x14ac:dyDescent="0.25">
      <c r="A305" s="59"/>
      <c r="B305" s="42"/>
      <c r="C305" s="43"/>
      <c r="D305" s="44"/>
      <c r="E305" s="41"/>
      <c r="F305" s="41"/>
      <c r="G305" s="41"/>
      <c r="H305" s="41"/>
      <c r="I305" s="41"/>
      <c r="J305" s="41"/>
      <c r="K305" s="41"/>
      <c r="L305" s="12"/>
      <c r="M305" s="41"/>
      <c r="N305" s="41"/>
      <c r="O305" s="41"/>
      <c r="P305" s="41"/>
      <c r="Q305" s="128"/>
      <c r="R305" s="14"/>
      <c r="S305" s="37">
        <v>500000</v>
      </c>
      <c r="T305" s="26">
        <v>495000</v>
      </c>
      <c r="U305" s="27" t="s">
        <v>382</v>
      </c>
      <c r="V305" s="14"/>
    </row>
    <row r="306" spans="1:22" ht="39" customHeight="1" x14ac:dyDescent="0.25">
      <c r="A306" s="59"/>
      <c r="B306" s="42"/>
      <c r="C306" s="43"/>
      <c r="D306" s="44"/>
      <c r="E306" s="41"/>
      <c r="F306" s="41"/>
      <c r="G306" s="41"/>
      <c r="H306" s="41"/>
      <c r="I306" s="41"/>
      <c r="J306" s="41"/>
      <c r="K306" s="41"/>
      <c r="L306" s="12"/>
      <c r="M306" s="41"/>
      <c r="N306" s="41"/>
      <c r="O306" s="41"/>
      <c r="P306" s="41"/>
      <c r="Q306" s="128"/>
      <c r="R306" s="14"/>
      <c r="S306" s="37">
        <v>200000</v>
      </c>
      <c r="T306" s="26">
        <v>190000</v>
      </c>
      <c r="U306" s="27" t="s">
        <v>395</v>
      </c>
      <c r="V306" s="14"/>
    </row>
    <row r="307" spans="1:22" ht="39" customHeight="1" x14ac:dyDescent="0.25">
      <c r="A307" s="59"/>
      <c r="B307" s="42"/>
      <c r="C307" s="43"/>
      <c r="D307" s="44"/>
      <c r="E307" s="41"/>
      <c r="F307" s="41"/>
      <c r="G307" s="41"/>
      <c r="H307" s="41"/>
      <c r="I307" s="41"/>
      <c r="J307" s="41"/>
      <c r="K307" s="41"/>
      <c r="L307" s="12"/>
      <c r="M307" s="41"/>
      <c r="N307" s="41"/>
      <c r="O307" s="41"/>
      <c r="P307" s="41"/>
      <c r="Q307" s="128"/>
      <c r="R307" s="14" t="s">
        <v>410</v>
      </c>
      <c r="S307" s="37">
        <v>500000</v>
      </c>
      <c r="T307" s="26">
        <v>475000</v>
      </c>
      <c r="U307" s="27" t="s">
        <v>409</v>
      </c>
      <c r="V307" s="14">
        <f>SUM(P304:P307)-SUM(T304:T307)</f>
        <v>-1133000</v>
      </c>
    </row>
    <row r="308" spans="1:22" ht="39" customHeight="1" x14ac:dyDescent="0.25">
      <c r="A308" s="59"/>
      <c r="B308" s="42"/>
      <c r="C308" s="43"/>
      <c r="D308" s="44"/>
      <c r="E308" s="41"/>
      <c r="F308" s="41"/>
      <c r="G308" s="41"/>
      <c r="H308" s="41"/>
      <c r="I308" s="41"/>
      <c r="J308" s="41"/>
      <c r="K308" s="41"/>
      <c r="L308" s="12"/>
      <c r="M308" s="41"/>
      <c r="N308" s="41"/>
      <c r="O308" s="41"/>
      <c r="P308" s="41"/>
      <c r="Q308" s="128"/>
      <c r="R308" s="14"/>
      <c r="S308" s="37"/>
      <c r="T308" s="26"/>
      <c r="U308" s="27"/>
      <c r="V308" s="14"/>
    </row>
    <row r="309" spans="1:22" ht="39" customHeight="1" x14ac:dyDescent="0.25">
      <c r="A309" s="59"/>
      <c r="B309" s="42"/>
      <c r="C309" s="43"/>
      <c r="D309" s="44"/>
      <c r="E309" s="41"/>
      <c r="F309" s="41"/>
      <c r="G309" s="41"/>
      <c r="H309" s="41"/>
      <c r="I309" s="41"/>
      <c r="J309" s="41"/>
      <c r="K309" s="41"/>
      <c r="L309" s="12"/>
      <c r="M309" s="41"/>
      <c r="N309" s="41"/>
      <c r="O309" s="41"/>
      <c r="P309" s="41"/>
      <c r="Q309" s="128"/>
      <c r="R309" s="14"/>
      <c r="S309" s="37"/>
      <c r="T309" s="26"/>
      <c r="U309" s="27"/>
      <c r="V309" s="14"/>
    </row>
    <row r="310" spans="1:22" ht="30" customHeight="1" thickBot="1" x14ac:dyDescent="0.2">
      <c r="A310" s="116"/>
      <c r="B310" s="117"/>
      <c r="C310" s="118"/>
      <c r="D310" s="119"/>
      <c r="E310" s="120"/>
      <c r="F310" s="120"/>
      <c r="G310" s="120"/>
      <c r="H310" s="120"/>
      <c r="I310" s="120"/>
      <c r="J310" s="120"/>
      <c r="K310" s="120"/>
      <c r="L310" s="121"/>
      <c r="M310" s="120"/>
      <c r="N310" s="120"/>
      <c r="O310" s="120"/>
      <c r="P310" s="120"/>
      <c r="Q310" s="136"/>
      <c r="R310" s="122"/>
      <c r="S310" s="123"/>
      <c r="T310" s="124"/>
      <c r="U310" s="99"/>
      <c r="V310" s="125"/>
    </row>
    <row r="311" spans="1:22" ht="30" customHeight="1" x14ac:dyDescent="0.25">
      <c r="A311" s="57"/>
      <c r="B311" s="81"/>
      <c r="C311" s="82"/>
      <c r="D311" s="83"/>
      <c r="E311" s="84"/>
      <c r="F311" s="84"/>
      <c r="G311" s="84"/>
      <c r="H311" s="84"/>
      <c r="I311" s="84"/>
      <c r="J311" s="85"/>
      <c r="K311" s="86">
        <f t="shared" ref="K311:O311" si="73">SUM(K7:K307)</f>
        <v>1961767.9889999998</v>
      </c>
      <c r="L311" s="86">
        <f t="shared" si="73"/>
        <v>208600.18200000003</v>
      </c>
      <c r="M311" s="86">
        <f t="shared" si="73"/>
        <v>3254534.9839999992</v>
      </c>
      <c r="N311" s="86">
        <f t="shared" si="73"/>
        <v>6816515.2012</v>
      </c>
      <c r="O311" s="86">
        <f t="shared" si="73"/>
        <v>1918234</v>
      </c>
      <c r="P311" s="86">
        <f>SUM(P7:P307)</f>
        <v>32773317.545200005</v>
      </c>
      <c r="Q311" s="137"/>
      <c r="R311" s="87" t="s">
        <v>99</v>
      </c>
      <c r="S311" s="87">
        <f>SUM(S5:S307)</f>
        <v>68526510</v>
      </c>
      <c r="T311" s="86">
        <f>SUM(T7:T307)</f>
        <v>65681010</v>
      </c>
      <c r="U311" s="84"/>
      <c r="V311" s="86">
        <f>SUM(V7:V307)</f>
        <v>-32907692.454799991</v>
      </c>
    </row>
    <row r="312" spans="1:22" ht="30" customHeight="1" thickBot="1" x14ac:dyDescent="0.3">
      <c r="A312" s="77"/>
      <c r="B312" s="78"/>
      <c r="C312" s="78"/>
      <c r="D312" s="78"/>
      <c r="E312" s="78"/>
      <c r="F312" s="78"/>
      <c r="G312" s="78"/>
      <c r="H312" s="78"/>
      <c r="I312" s="78"/>
      <c r="J312" s="78"/>
      <c r="K312" s="78"/>
      <c r="L312" s="78"/>
      <c r="M312" s="78"/>
      <c r="N312" s="77"/>
      <c r="O312" s="77"/>
      <c r="P312" s="77"/>
      <c r="Q312" s="138"/>
      <c r="R312" s="77" t="s">
        <v>100</v>
      </c>
      <c r="S312" s="77">
        <f>P311-S311</f>
        <v>-35753192.454799995</v>
      </c>
      <c r="T312" s="80">
        <f>P311-T311</f>
        <v>-32907692.454799995</v>
      </c>
      <c r="U312" s="78"/>
      <c r="V312" s="79"/>
    </row>
    <row r="313" spans="1:22" ht="30" customHeight="1" thickBot="1" x14ac:dyDescent="0.3"/>
    <row r="314" spans="1:22" ht="30" customHeight="1" thickBot="1" x14ac:dyDescent="0.3">
      <c r="L314" s="448" t="s">
        <v>2</v>
      </c>
      <c r="M314" s="449"/>
      <c r="N314" s="449"/>
      <c r="O314" s="450"/>
    </row>
    <row r="315" spans="1:22" ht="30" customHeight="1" thickBot="1" x14ac:dyDescent="0.3">
      <c r="L315" s="442"/>
      <c r="M315" s="443"/>
      <c r="N315" s="443"/>
      <c r="O315" s="460"/>
    </row>
    <row r="316" spans="1:22" ht="30" customHeight="1" thickBot="1" x14ac:dyDescent="0.45">
      <c r="L316" s="442" t="s">
        <v>264</v>
      </c>
      <c r="M316" s="443"/>
      <c r="N316" s="444">
        <f>K311+L311+O311</f>
        <v>4088602.1710000001</v>
      </c>
      <c r="O316" s="445"/>
    </row>
    <row r="317" spans="1:22" ht="30" customHeight="1" thickBot="1" x14ac:dyDescent="0.45">
      <c r="L317" s="442" t="s">
        <v>265</v>
      </c>
      <c r="M317" s="443"/>
      <c r="N317" s="444">
        <f>T312</f>
        <v>-32907692.454799995</v>
      </c>
      <c r="O317" s="445"/>
    </row>
    <row r="318" spans="1:22" ht="30" customHeight="1" thickBot="1" x14ac:dyDescent="0.45">
      <c r="L318" s="434" t="s">
        <v>266</v>
      </c>
      <c r="M318" s="435"/>
      <c r="N318" s="440"/>
      <c r="O318" s="441"/>
    </row>
  </sheetData>
  <mergeCells count="9">
    <mergeCell ref="L317:M317"/>
    <mergeCell ref="N317:O317"/>
    <mergeCell ref="L318:M318"/>
    <mergeCell ref="N318:O318"/>
    <mergeCell ref="Q4:Q5"/>
    <mergeCell ref="L314:O314"/>
    <mergeCell ref="L315:O315"/>
    <mergeCell ref="L316:M316"/>
    <mergeCell ref="N316:O316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1" manualBreakCount="1">
    <brk id="74" max="16383" man="1"/>
  </rowBreaks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Final</vt:lpstr>
      <vt:lpstr>MZN SUMMARY</vt:lpstr>
      <vt:lpstr>Combined</vt:lpstr>
      <vt:lpstr>Combined!Print_Area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2025-07-21T06:14:03Z</dcterms:modified>
</cp:coreProperties>
</file>