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I13" i="1" s="1"/>
  <c r="G14" i="1"/>
  <c r="J14" i="1" s="1"/>
  <c r="G15" i="1"/>
  <c r="J15" i="1" s="1"/>
  <c r="G16" i="1"/>
  <c r="K16" i="1" s="1"/>
  <c r="G18" i="1"/>
  <c r="J16" i="1" l="1"/>
  <c r="H16" i="1"/>
  <c r="I15" i="1"/>
  <c r="I14" i="1"/>
  <c r="W14" i="1"/>
  <c r="W13" i="1"/>
  <c r="T12" i="1"/>
  <c r="W12" i="1" s="1"/>
  <c r="E17" i="1" l="1"/>
  <c r="G17" i="1" s="1"/>
  <c r="P17" i="1" s="1"/>
  <c r="Y19" i="1" s="1"/>
  <c r="N16" i="1"/>
  <c r="I16" i="1"/>
  <c r="M16" i="1" s="1"/>
  <c r="P13" i="1"/>
  <c r="G12" i="1"/>
  <c r="J12" i="1" s="1"/>
  <c r="K12" i="1" l="1"/>
  <c r="H12" i="1"/>
  <c r="N12" i="1" s="1"/>
  <c r="P8" i="1"/>
  <c r="I12" i="1" l="1"/>
  <c r="P12" i="1" s="1"/>
  <c r="Y15" i="1" s="1"/>
  <c r="F7" i="1"/>
  <c r="E7" i="1" l="1"/>
  <c r="G7" i="1" l="1"/>
  <c r="T8" i="1" l="1"/>
  <c r="U9" i="1"/>
  <c r="T9" i="1"/>
  <c r="T7" i="1" l="1"/>
  <c r="W7" i="1" s="1"/>
  <c r="W8" i="1" l="1"/>
  <c r="W21" i="1" s="1"/>
  <c r="G10" i="1"/>
  <c r="I10" i="1" s="1"/>
  <c r="J10" i="1" l="1"/>
  <c r="P10" i="1" s="1"/>
  <c r="G9" i="1"/>
  <c r="I9" i="1" s="1"/>
  <c r="J9" i="1" s="1"/>
  <c r="P9" i="1" s="1"/>
  <c r="H7" i="1" l="1"/>
  <c r="K7" i="1"/>
  <c r="J7" i="1"/>
  <c r="N7" i="1" l="1"/>
  <c r="I8" i="1" s="1"/>
  <c r="I7" i="1"/>
  <c r="P7" i="1" s="1"/>
  <c r="P21" i="1" l="1"/>
  <c r="Y11" i="1"/>
  <c r="W23" i="1"/>
  <c r="P29" i="1" s="1"/>
</calcChain>
</file>

<file path=xl/sharedStrings.xml><?xml version="1.0" encoding="utf-8"?>
<sst xmlns="http://schemas.openxmlformats.org/spreadsheetml/2006/main" count="62" uniqueCount="58">
  <si>
    <t>Amount</t>
  </si>
  <si>
    <t>PAYMENT NOTE No.</t>
  </si>
  <si>
    <t>Total Amount Paid</t>
  </si>
  <si>
    <t>UTR</t>
  </si>
  <si>
    <t>Pump House work</t>
  </si>
  <si>
    <t>Total Payable Amount Rs. -</t>
  </si>
  <si>
    <t>Balance Payable Amount Rs. -</t>
  </si>
  <si>
    <t>Total Paid Amount Rs. -</t>
  </si>
  <si>
    <t>Hold Amount against Material</t>
  </si>
  <si>
    <t>Vani Assoicate</t>
  </si>
  <si>
    <t>Meghakheri Village Pump House work</t>
  </si>
  <si>
    <t>03-09-2022 NEFT/AXISP00316992484/RIUP22/669/VANI ASSOICATE 99000.00</t>
  </si>
  <si>
    <t>15-12-2022 NEFT/AXISP00346453827/RIUP22/1524/VANI ASSOICATE 148500.00</t>
  </si>
  <si>
    <t>RIUP22/669</t>
  </si>
  <si>
    <t>RIUP22/1524</t>
  </si>
  <si>
    <t>18-01-2023 NEFT/AXISP00355694662/RIUP22/1543/VANI ASSOICATE 57384.00</t>
  </si>
  <si>
    <t>03-02-2023 NEFT/AXISP00360144604/RIUP22/2075/VANI ASSOICATE ₹ 61,662.00</t>
  </si>
  <si>
    <t>RIUP22/1543</t>
  </si>
  <si>
    <t>RIUP22/2075</t>
  </si>
  <si>
    <t>GST release note</t>
  </si>
  <si>
    <t>GST Release note</t>
  </si>
  <si>
    <t>RIUP23/976</t>
  </si>
  <si>
    <t>01-07-2023 NEFT/AXISP00402820435/RIUP23/976/VANI ASSOICATE 198038.00</t>
  </si>
  <si>
    <t>Buwara kalan Village Pump House work</t>
  </si>
  <si>
    <t>RIUP22/2725</t>
  </si>
  <si>
    <t>27-03-2023 NEFT/AXISP00374448949/RIUP22/2725/VANI ASSOICATE 99000.00</t>
  </si>
  <si>
    <t>RIUP23/1570</t>
  </si>
  <si>
    <t>18-08-2023 NEFT/AXISP00416613505/RIUP23/1570/VANI ASSOICATE 60075.00</t>
  </si>
  <si>
    <t>20-12-2023 NEFT/AXISP00454416135/RIUP23/3868/VANI ASSOICATE/CNRB0005027 274482.00</t>
  </si>
  <si>
    <t>05-02-2024 NEFT/AXISP00468222715/RIUP23/4570/VANI ASSOICATE/CNRB0005027 58818.00</t>
  </si>
  <si>
    <t>RIUP23/4570</t>
  </si>
  <si>
    <t>RIUP23/3868</t>
  </si>
  <si>
    <t>Updated As On- 22-06-2024</t>
  </si>
  <si>
    <t>Advance / Surplus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</si>
  <si>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</si>
  <si>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</si>
  <si>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</si>
  <si>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</si>
  <si>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</si>
  <si>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</si>
  <si>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</si>
  <si>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</si>
  <si>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</si>
  <si>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</si>
  <si>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</si>
  <si>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</si>
  <si>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</si>
  <si>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</si>
  <si>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</si>
  <si>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</si>
  <si>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</si>
  <si>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</si>
  <si>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</si>
  <si>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</si>
  <si>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</si>
  <si>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</si>
  <si>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</si>
  <si>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Shahbuzpur Tigai Village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</si>
</sst>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12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3" fontId="2" fillId="2" borderId="4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2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15" fontId="2" fillId="2" borderId="15" xfId="0" applyNumberFormat="1" applyFont="1" applyFill="1" applyBorder="1" applyAlignment="1">
      <alignment horizontal="center" vertical="center"/>
    </xf>
    <xf numFmtId="0" fontId="2" fillId="2" borderId="8" xfId="0" quotePrefix="1" applyFont="1" applyFill="1" applyBorder="1" applyAlignment="1">
      <alignment horizontal="center"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43" fontId="2" fillId="3" borderId="19" xfId="1" applyNumberFormat="1" applyFont="1" applyFill="1" applyBorder="1" applyAlignment="1">
      <alignment vertical="center"/>
    </xf>
    <xf numFmtId="43" fontId="2" fillId="3" borderId="10" xfId="1" applyNumberFormat="1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43" fontId="2" fillId="3" borderId="16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3" borderId="18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2" fillId="3" borderId="29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0" fontId="2" fillId="0" borderId="18" xfId="0" applyFont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14" fontId="2" fillId="2" borderId="14" xfId="1" applyNumberFormat="1" applyFont="1" applyFill="1" applyBorder="1" applyAlignment="1">
      <alignment vertical="center"/>
    </xf>
    <xf numFmtId="14" fontId="2" fillId="3" borderId="14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0" fontId="2" fillId="2" borderId="35" xfId="0" quotePrefix="1" applyFont="1" applyFill="1" applyBorder="1" applyAlignment="1">
      <alignment horizontal="center" vertical="center"/>
    </xf>
    <xf numFmtId="43" fontId="2" fillId="3" borderId="31" xfId="1" applyNumberFormat="1" applyFont="1" applyFill="1" applyBorder="1" applyAlignment="1">
      <alignment vertical="center"/>
    </xf>
    <xf numFmtId="43" fontId="2" fillId="3" borderId="35" xfId="1" applyNumberFormat="1" applyFont="1" applyFill="1" applyBorder="1" applyAlignment="1">
      <alignment vertical="center"/>
    </xf>
    <xf numFmtId="43" fontId="2" fillId="3" borderId="34" xfId="1" applyNumberFormat="1" applyFont="1" applyFill="1" applyBorder="1" applyAlignment="1">
      <alignment vertical="center"/>
    </xf>
    <xf numFmtId="0" fontId="3" fillId="3" borderId="19" xfId="0" applyFont="1" applyFill="1" applyBorder="1" applyAlignment="1">
      <alignment horizontal="center" vertical="center" wrapText="1"/>
    </xf>
    <xf numFmtId="43" fontId="2" fillId="3" borderId="30" xfId="1" applyNumberFormat="1" applyFont="1" applyFill="1" applyBorder="1" applyAlignment="1">
      <alignment vertical="center"/>
    </xf>
    <xf numFmtId="43" fontId="2" fillId="3" borderId="36" xfId="1" applyNumberFormat="1" applyFont="1" applyFill="1" applyBorder="1" applyAlignment="1">
      <alignment vertical="center"/>
    </xf>
    <xf numFmtId="0" fontId="2" fillId="2" borderId="37" xfId="0" applyFont="1" applyFill="1" applyBorder="1" applyAlignment="1">
      <alignment horizontal="center" vertical="center" wrapText="1"/>
    </xf>
    <xf numFmtId="15" fontId="2" fillId="2" borderId="38" xfId="0" applyNumberFormat="1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43" fontId="2" fillId="2" borderId="33" xfId="1" applyNumberFormat="1" applyFont="1" applyFill="1" applyBorder="1" applyAlignment="1">
      <alignment vertical="center"/>
    </xf>
    <xf numFmtId="43" fontId="2" fillId="2" borderId="39" xfId="1" applyNumberFormat="1" applyFont="1" applyFill="1" applyBorder="1" applyAlignment="1">
      <alignment vertical="center"/>
    </xf>
    <xf numFmtId="43" fontId="2" fillId="2" borderId="40" xfId="1" applyNumberFormat="1" applyFont="1" applyFill="1" applyBorder="1" applyAlignment="1">
      <alignment vertical="center"/>
    </xf>
    <xf numFmtId="43" fontId="2" fillId="2" borderId="38" xfId="1" applyNumberFormat="1" applyFont="1" applyFill="1" applyBorder="1" applyAlignment="1">
      <alignment vertical="center"/>
    </xf>
    <xf numFmtId="43" fontId="2" fillId="2" borderId="4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3" fontId="2" fillId="2" borderId="42" xfId="1" applyNumberFormat="1" applyFont="1" applyFill="1" applyBorder="1" applyAlignment="1">
      <alignment vertical="center"/>
    </xf>
    <xf numFmtId="43" fontId="2" fillId="2" borderId="43" xfId="1" applyNumberFormat="1" applyFont="1" applyFill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6" fillId="0" borderId="0" xfId="0" applyFont="1" applyAlignment="1">
      <alignment horizontal="center"/>
    </xf>
    <xf numFmtId="43" fontId="2" fillId="3" borderId="0" xfId="0" applyNumberFormat="1" applyFont="1" applyFill="1" applyAlignment="1">
      <alignment vertical="center"/>
    </xf>
    <xf numFmtId="0" fontId="6" fillId="0" borderId="0" xfId="0" applyFont="1"/>
    <xf numFmtId="15" fontId="2" fillId="3" borderId="15" xfId="0" applyNumberFormat="1" applyFont="1" applyFill="1" applyBorder="1" applyAlignment="1">
      <alignment horizontal="center" vertical="center"/>
    </xf>
    <xf numFmtId="0" fontId="2" fillId="3" borderId="8" xfId="0" quotePrefix="1" applyFont="1" applyFill="1" applyBorder="1" applyAlignment="1">
      <alignment horizontal="center" vertical="center"/>
    </xf>
    <xf numFmtId="43" fontId="2" fillId="3" borderId="39" xfId="1" applyNumberFormat="1" applyFont="1" applyFill="1" applyBorder="1" applyAlignment="1">
      <alignment vertical="center"/>
    </xf>
    <xf numFmtId="43" fontId="2" fillId="3" borderId="40" xfId="1" applyNumberFormat="1" applyFont="1" applyFill="1" applyBorder="1" applyAlignment="1">
      <alignment vertical="center"/>
    </xf>
    <xf numFmtId="43" fontId="2" fillId="3" borderId="38" xfId="1" applyNumberFormat="1" applyFont="1" applyFill="1" applyBorder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2" fillId="2" borderId="24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43" fontId="2" fillId="2" borderId="20" xfId="0" applyNumberFormat="1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7" fillId="2" borderId="38" xfId="0" applyFont="1" applyFill="1" applyBorder="1" applyAlignment="1">
      <alignment vertical="center"/>
    </xf>
    <xf numFmtId="0" fontId="7" fillId="2" borderId="38" xfId="0" applyFont="1" applyFill="1" applyBorder="1" applyAlignment="1">
      <alignment horizontal="center" vertical="center" wrapText="1"/>
    </xf>
    <xf numFmtId="14" fontId="7" fillId="2" borderId="38" xfId="0" applyNumberFormat="1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43" fontId="8" fillId="2" borderId="38" xfId="1" applyNumberFormat="1" applyFont="1" applyFill="1" applyBorder="1" applyAlignment="1">
      <alignment horizontal="center" vertical="center"/>
    </xf>
    <xf numFmtId="43" fontId="7" fillId="2" borderId="38" xfId="1" applyNumberFormat="1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zoomScaleNormal="100" workbookViewId="0">
      <selection activeCell="E25" sqref="E25"/>
    </sheetView>
  </sheetViews>
  <sheetFormatPr defaultColWidth="9" defaultRowHeight="15.75" x14ac:dyDescent="0.25"/>
  <cols>
    <col min="1" max="1" width="7.5703125" style="1" bestFit="1" customWidth="1"/>
    <col min="2" max="2" width="30.5703125" style="1" bestFit="1" customWidth="1"/>
    <col min="3" max="3" width="13.28515625" style="1" bestFit="1" customWidth="1"/>
    <col min="4" max="4" width="10.140625" style="1" customWidth="1"/>
    <col min="5" max="6" width="14.28515625" style="1" bestFit="1" customWidth="1"/>
    <col min="7" max="7" width="17" style="1" bestFit="1" customWidth="1"/>
    <col min="8" max="8" width="12.42578125" style="7" bestFit="1" customWidth="1"/>
    <col min="9" max="9" width="14.28515625" style="7" bestFit="1" customWidth="1"/>
    <col min="10" max="10" width="15.5703125" style="1" customWidth="1"/>
    <col min="11" max="11" width="12.42578125" style="1" bestFit="1" customWidth="1"/>
    <col min="12" max="12" width="18.28515625" style="1" customWidth="1"/>
    <col min="13" max="13" width="12.42578125" style="1" customWidth="1"/>
    <col min="14" max="14" width="14.5703125" style="1" bestFit="1" customWidth="1"/>
    <col min="15" max="15" width="9.140625" style="1" customWidth="1"/>
    <col min="16" max="16" width="16.28515625" style="1" bestFit="1" customWidth="1"/>
    <col min="17" max="17" width="7.28515625" style="1" customWidth="1"/>
    <col min="18" max="18" width="21.7109375" style="1" bestFit="1" customWidth="1"/>
    <col min="19" max="19" width="14.28515625" style="1" bestFit="1" customWidth="1"/>
    <col min="20" max="20" width="20.42578125" style="1" bestFit="1" customWidth="1"/>
    <col min="21" max="21" width="31.28515625" style="1" hidden="1" customWidth="1"/>
    <col min="22" max="22" width="14.42578125" style="1" hidden="1" customWidth="1"/>
    <col min="23" max="23" width="19.28515625" style="1" bestFit="1" customWidth="1"/>
    <col min="24" max="24" width="102.42578125" style="1" bestFit="1" customWidth="1"/>
    <col min="25" max="25" width="12.42578125" style="1" bestFit="1" customWidth="1"/>
    <col min="26" max="16384" width="9" style="1"/>
  </cols>
  <sheetData>
    <row r="1" spans="1:25" x14ac:dyDescent="0.25">
      <c r="A1" s="99" t="s">
        <v>34</v>
      </c>
      <c r="B1" s="2" t="s">
        <v>9</v>
      </c>
      <c r="E1" s="3"/>
      <c r="F1" s="3"/>
      <c r="G1" s="3"/>
      <c r="H1" s="4"/>
      <c r="I1" s="4"/>
    </row>
    <row r="2" spans="1:25" x14ac:dyDescent="0.25">
      <c r="A2" s="99" t="s">
        <v>35</v>
      </c>
      <c r="B2" s="100" t="s">
        <v>38</v>
      </c>
      <c r="C2" s="5"/>
      <c r="D2" s="5" t="s">
        <v>9</v>
      </c>
      <c r="G2" s="6" t="s">
        <v>4</v>
      </c>
      <c r="I2" s="6"/>
      <c r="J2" s="8"/>
      <c r="K2" s="8"/>
      <c r="L2" s="8"/>
      <c r="M2" s="8"/>
      <c r="N2" s="8"/>
      <c r="O2" s="8"/>
      <c r="P2" s="8"/>
      <c r="Q2" s="8"/>
      <c r="S2" s="8"/>
      <c r="T2" s="8"/>
      <c r="U2" s="8"/>
      <c r="V2" s="8"/>
      <c r="W2" s="8"/>
      <c r="X2" s="8"/>
    </row>
    <row r="3" spans="1:25" ht="16.5" thickBot="1" x14ac:dyDescent="0.3">
      <c r="A3" s="99" t="s">
        <v>36</v>
      </c>
      <c r="B3" s="100" t="s">
        <v>39</v>
      </c>
      <c r="C3" s="5"/>
      <c r="D3" s="5"/>
      <c r="G3" s="6"/>
      <c r="I3" s="6"/>
      <c r="J3" s="8"/>
      <c r="K3" s="8"/>
      <c r="L3" s="8"/>
      <c r="M3" s="8"/>
      <c r="N3" s="8"/>
      <c r="O3" s="8"/>
      <c r="P3" s="8"/>
      <c r="Q3" s="8"/>
      <c r="S3" s="8"/>
      <c r="T3" s="8"/>
      <c r="U3" s="8"/>
      <c r="V3" s="8"/>
      <c r="W3" s="8"/>
      <c r="X3" s="8"/>
    </row>
    <row r="4" spans="1:25" ht="16.5" thickBot="1" x14ac:dyDescent="0.3">
      <c r="A4" s="99" t="s">
        <v>37</v>
      </c>
      <c r="B4" s="100" t="s">
        <v>39</v>
      </c>
      <c r="C4" s="9"/>
      <c r="D4" s="9"/>
      <c r="E4" s="9"/>
      <c r="F4" s="8"/>
      <c r="G4" s="8"/>
      <c r="H4" s="4"/>
      <c r="I4" s="4"/>
      <c r="J4" s="8"/>
      <c r="K4" s="8"/>
      <c r="L4" s="8"/>
      <c r="M4" s="8"/>
      <c r="N4" s="8"/>
      <c r="O4" s="8"/>
      <c r="P4" s="8"/>
      <c r="Q4" s="8"/>
      <c r="S4" s="10"/>
      <c r="T4" s="10"/>
      <c r="U4" s="10"/>
      <c r="V4" s="10"/>
      <c r="W4" s="10"/>
      <c r="X4" s="10"/>
    </row>
    <row r="5" spans="1:25" ht="43.9" customHeight="1" thickBot="1" x14ac:dyDescent="0.3">
      <c r="A5" s="101" t="s">
        <v>40</v>
      </c>
      <c r="B5" s="102" t="s">
        <v>41</v>
      </c>
      <c r="C5" s="103" t="s">
        <v>42</v>
      </c>
      <c r="D5" s="104" t="s">
        <v>43</v>
      </c>
      <c r="E5" s="102" t="s">
        <v>44</v>
      </c>
      <c r="F5" s="102" t="s">
        <v>45</v>
      </c>
      <c r="G5" s="104" t="s">
        <v>46</v>
      </c>
      <c r="H5" s="105" t="s">
        <v>47</v>
      </c>
      <c r="I5" s="106" t="s">
        <v>0</v>
      </c>
      <c r="J5" s="102" t="s">
        <v>48</v>
      </c>
      <c r="K5" s="102" t="s">
        <v>49</v>
      </c>
      <c r="L5" s="102" t="s">
        <v>50</v>
      </c>
      <c r="M5" s="102" t="s">
        <v>51</v>
      </c>
      <c r="N5" s="12" t="s">
        <v>52</v>
      </c>
      <c r="O5" s="12" t="s">
        <v>8</v>
      </c>
      <c r="P5" s="12" t="s">
        <v>53</v>
      </c>
      <c r="Q5" s="13"/>
      <c r="R5" s="11" t="s">
        <v>1</v>
      </c>
      <c r="S5" s="102" t="s">
        <v>54</v>
      </c>
      <c r="T5" s="102" t="s">
        <v>55</v>
      </c>
      <c r="U5" s="102" t="s">
        <v>56</v>
      </c>
      <c r="V5" s="102" t="s">
        <v>3</v>
      </c>
      <c r="W5" s="11" t="s">
        <v>2</v>
      </c>
      <c r="X5" s="12" t="s">
        <v>3</v>
      </c>
    </row>
    <row r="6" spans="1:25" x14ac:dyDescent="0.25">
      <c r="B6" s="14"/>
      <c r="C6" s="15"/>
      <c r="D6" s="15"/>
      <c r="E6" s="16"/>
      <c r="F6" s="17"/>
      <c r="G6" s="17"/>
      <c r="H6" s="18">
        <v>0.18</v>
      </c>
      <c r="I6" s="19"/>
      <c r="J6" s="20">
        <v>0.01</v>
      </c>
      <c r="K6" s="21">
        <v>0.1</v>
      </c>
      <c r="L6" s="21">
        <v>0.1</v>
      </c>
      <c r="M6" s="21">
        <v>0.1</v>
      </c>
      <c r="N6" s="21">
        <v>0.18</v>
      </c>
      <c r="O6" s="21"/>
      <c r="P6" s="22"/>
      <c r="Q6" s="13"/>
      <c r="R6" s="23"/>
      <c r="S6" s="24"/>
      <c r="T6" s="18">
        <v>0.01</v>
      </c>
      <c r="U6" s="25">
        <v>0.05</v>
      </c>
      <c r="V6" s="19"/>
      <c r="W6" s="26"/>
      <c r="X6" s="22"/>
    </row>
    <row r="7" spans="1:25" ht="47.45" customHeight="1" x14ac:dyDescent="0.25">
      <c r="A7" s="1">
        <v>52251</v>
      </c>
      <c r="B7" s="27" t="s">
        <v>10</v>
      </c>
      <c r="C7" s="28">
        <v>44902</v>
      </c>
      <c r="D7" s="29">
        <v>2</v>
      </c>
      <c r="E7" s="30">
        <f>(370000)+11000</f>
        <v>381000</v>
      </c>
      <c r="F7" s="31">
        <f>23233.41+15200</f>
        <v>38433.410000000003</v>
      </c>
      <c r="G7" s="31">
        <f>ROUND(E7-F7,0)</f>
        <v>342567</v>
      </c>
      <c r="H7" s="24">
        <f>ROUND(G7*H6,0)</f>
        <v>61662</v>
      </c>
      <c r="I7" s="19">
        <f>G7+H7</f>
        <v>404229</v>
      </c>
      <c r="J7" s="32">
        <f>G7*$J$6</f>
        <v>3425.67</v>
      </c>
      <c r="K7" s="22">
        <f>G7*$K$6</f>
        <v>34256.700000000004</v>
      </c>
      <c r="L7" s="22"/>
      <c r="M7" s="22"/>
      <c r="N7" s="22">
        <f>H7</f>
        <v>61662</v>
      </c>
      <c r="O7" s="22">
        <v>0</v>
      </c>
      <c r="P7" s="22">
        <f>ROUND(I7-SUM(J7:O7),0)</f>
        <v>304885</v>
      </c>
      <c r="Q7" s="13"/>
      <c r="R7" s="33" t="s">
        <v>13</v>
      </c>
      <c r="S7" s="24">
        <v>100000</v>
      </c>
      <c r="T7" s="24">
        <f>S7*T6</f>
        <v>1000</v>
      </c>
      <c r="U7" s="19">
        <v>0</v>
      </c>
      <c r="V7" s="19">
        <v>0</v>
      </c>
      <c r="W7" s="26">
        <f>ROUND(S7-T7-U7-V7,0)</f>
        <v>99000</v>
      </c>
      <c r="X7" s="34" t="s">
        <v>11</v>
      </c>
    </row>
    <row r="8" spans="1:25" ht="47.45" customHeight="1" x14ac:dyDescent="0.25">
      <c r="A8" s="1">
        <v>52251</v>
      </c>
      <c r="B8" s="27" t="s">
        <v>19</v>
      </c>
      <c r="C8" s="28"/>
      <c r="D8" s="35">
        <v>2</v>
      </c>
      <c r="E8" s="16">
        <v>61662</v>
      </c>
      <c r="F8" s="36"/>
      <c r="G8" s="36">
        <v>0</v>
      </c>
      <c r="H8" s="36">
        <v>0</v>
      </c>
      <c r="I8" s="19">
        <f>G8+H8</f>
        <v>0</v>
      </c>
      <c r="J8" s="32">
        <v>0</v>
      </c>
      <c r="K8" s="22">
        <v>0</v>
      </c>
      <c r="L8" s="22"/>
      <c r="M8" s="22"/>
      <c r="N8" s="22">
        <v>0</v>
      </c>
      <c r="O8" s="22"/>
      <c r="P8" s="22">
        <f>E8</f>
        <v>61662</v>
      </c>
      <c r="Q8" s="13"/>
      <c r="R8" s="33" t="s">
        <v>14</v>
      </c>
      <c r="S8" s="24">
        <v>150000</v>
      </c>
      <c r="T8" s="24">
        <f>ROUND(S8*T6,0)</f>
        <v>1500</v>
      </c>
      <c r="U8" s="19">
        <v>0</v>
      </c>
      <c r="V8" s="19">
        <v>0</v>
      </c>
      <c r="W8" s="26">
        <f>ROUND(S8-T8-U8-V8,0)</f>
        <v>148500</v>
      </c>
      <c r="X8" s="34" t="s">
        <v>12</v>
      </c>
    </row>
    <row r="9" spans="1:25" x14ac:dyDescent="0.25">
      <c r="A9" s="1">
        <v>52251</v>
      </c>
      <c r="B9" s="27"/>
      <c r="C9" s="28"/>
      <c r="D9" s="29"/>
      <c r="E9" s="16"/>
      <c r="F9" s="36"/>
      <c r="G9" s="36">
        <f>E9-F9</f>
        <v>0</v>
      </c>
      <c r="H9" s="36">
        <v>0</v>
      </c>
      <c r="I9" s="19">
        <f>G9+H9</f>
        <v>0</v>
      </c>
      <c r="J9" s="32">
        <f>J6*I9</f>
        <v>0</v>
      </c>
      <c r="K9" s="37"/>
      <c r="L9" s="37"/>
      <c r="M9" s="37"/>
      <c r="N9" s="37"/>
      <c r="O9" s="22"/>
      <c r="P9" s="22">
        <f>I9-SUM(J9:N9)</f>
        <v>0</v>
      </c>
      <c r="Q9" s="13"/>
      <c r="R9" s="33" t="s">
        <v>17</v>
      </c>
      <c r="S9" s="24"/>
      <c r="T9" s="24">
        <f>S9*T6</f>
        <v>0</v>
      </c>
      <c r="U9" s="19">
        <f>S9*U6</f>
        <v>0</v>
      </c>
      <c r="V9" s="19"/>
      <c r="W9" s="26">
        <v>57384</v>
      </c>
      <c r="X9" s="34" t="s">
        <v>15</v>
      </c>
    </row>
    <row r="10" spans="1:25" x14ac:dyDescent="0.25">
      <c r="A10" s="1">
        <v>52251</v>
      </c>
      <c r="B10" s="27"/>
      <c r="C10" s="63"/>
      <c r="D10" s="29"/>
      <c r="E10" s="38"/>
      <c r="F10" s="36"/>
      <c r="G10" s="36">
        <f>E10-F10</f>
        <v>0</v>
      </c>
      <c r="H10" s="36">
        <v>0</v>
      </c>
      <c r="I10" s="19">
        <f>G10+H10</f>
        <v>0</v>
      </c>
      <c r="J10" s="32">
        <f>J$6*I10</f>
        <v>0</v>
      </c>
      <c r="K10" s="22">
        <v>0</v>
      </c>
      <c r="L10" s="22"/>
      <c r="M10" s="22"/>
      <c r="N10" s="22">
        <v>0</v>
      </c>
      <c r="O10" s="22"/>
      <c r="P10" s="22">
        <f>I10-SUM(J10:N10)</f>
        <v>0</v>
      </c>
      <c r="Q10" s="39"/>
      <c r="R10" s="33" t="s">
        <v>18</v>
      </c>
      <c r="S10" s="24"/>
      <c r="T10" s="24"/>
      <c r="U10" s="19"/>
      <c r="V10" s="19"/>
      <c r="W10" s="26">
        <v>61662</v>
      </c>
      <c r="X10" s="34" t="s">
        <v>16</v>
      </c>
    </row>
    <row r="11" spans="1:25" s="40" customFormat="1" ht="16.5" thickBot="1" x14ac:dyDescent="0.3">
      <c r="B11" s="46"/>
      <c r="C11" s="64"/>
      <c r="D11" s="68"/>
      <c r="E11" s="41"/>
      <c r="F11" s="47"/>
      <c r="G11" s="47"/>
      <c r="H11" s="47"/>
      <c r="I11" s="69"/>
      <c r="J11" s="70"/>
      <c r="K11" s="71"/>
      <c r="L11" s="71"/>
      <c r="M11" s="71"/>
      <c r="N11" s="71"/>
      <c r="O11" s="71"/>
      <c r="P11" s="71"/>
      <c r="Q11" s="72"/>
      <c r="R11" s="49"/>
      <c r="S11" s="73"/>
      <c r="T11" s="73"/>
      <c r="U11" s="69"/>
      <c r="V11" s="69"/>
      <c r="W11" s="74"/>
      <c r="X11" s="44"/>
      <c r="Y11" s="88">
        <f>SUM(P7:P10)-SUM(W7:W10)</f>
        <v>1</v>
      </c>
    </row>
    <row r="12" spans="1:25" ht="32.25" thickBot="1" x14ac:dyDescent="0.3">
      <c r="A12" s="1">
        <v>55676</v>
      </c>
      <c r="B12" s="75" t="s">
        <v>23</v>
      </c>
      <c r="C12" s="76">
        <v>45080</v>
      </c>
      <c r="D12" s="77">
        <v>6</v>
      </c>
      <c r="E12" s="78">
        <v>370000</v>
      </c>
      <c r="F12" s="79">
        <v>36249</v>
      </c>
      <c r="G12" s="79">
        <f>ROUND(E12-F12,0)</f>
        <v>333751</v>
      </c>
      <c r="H12" s="79">
        <f>ROUND(G12*H11,0)</f>
        <v>0</v>
      </c>
      <c r="I12" s="80">
        <f>G12+H12</f>
        <v>333751</v>
      </c>
      <c r="J12" s="81">
        <f>G12*$J$6</f>
        <v>3337.51</v>
      </c>
      <c r="K12" s="82">
        <f>G12*K11</f>
        <v>0</v>
      </c>
      <c r="L12" s="82"/>
      <c r="M12" s="82"/>
      <c r="N12" s="82">
        <f>H12</f>
        <v>0</v>
      </c>
      <c r="O12" s="82"/>
      <c r="P12" s="82">
        <f>ROUND(I12-SUM(J12:O12),0)</f>
        <v>330413</v>
      </c>
      <c r="Q12" s="83"/>
      <c r="R12" s="84" t="s">
        <v>24</v>
      </c>
      <c r="S12" s="79">
        <v>100000</v>
      </c>
      <c r="T12" s="79">
        <f>S12*1%</f>
        <v>1000</v>
      </c>
      <c r="U12" s="80">
        <v>0</v>
      </c>
      <c r="V12" s="80"/>
      <c r="W12" s="85">
        <f>S12-T12</f>
        <v>99000</v>
      </c>
      <c r="X12" s="86" t="s">
        <v>25</v>
      </c>
    </row>
    <row r="13" spans="1:25" ht="16.5" thickBot="1" x14ac:dyDescent="0.3">
      <c r="A13" s="1">
        <v>55676</v>
      </c>
      <c r="B13" s="27" t="s">
        <v>20</v>
      </c>
      <c r="C13" s="28">
        <v>45152</v>
      </c>
      <c r="D13" s="35">
        <v>6</v>
      </c>
      <c r="E13" s="16">
        <v>60075</v>
      </c>
      <c r="F13" s="36">
        <v>0</v>
      </c>
      <c r="G13" s="79">
        <f t="shared" ref="G13:G18" si="0">ROUND(E13-F13,0)</f>
        <v>60075</v>
      </c>
      <c r="H13" s="36">
        <v>0</v>
      </c>
      <c r="I13" s="80">
        <f t="shared" ref="I13:I16" si="1">G13+H13</f>
        <v>60075</v>
      </c>
      <c r="J13" s="81"/>
      <c r="K13" s="22">
        <v>0</v>
      </c>
      <c r="L13" s="22"/>
      <c r="M13" s="22"/>
      <c r="N13" s="22">
        <v>0</v>
      </c>
      <c r="O13" s="22">
        <v>0</v>
      </c>
      <c r="P13" s="22">
        <f>ROUND(I13-SUM(J13:O13),0)</f>
        <v>60075</v>
      </c>
      <c r="Q13" s="13"/>
      <c r="R13" s="33" t="s">
        <v>21</v>
      </c>
      <c r="S13" s="24">
        <v>198038</v>
      </c>
      <c r="T13" s="24">
        <v>0</v>
      </c>
      <c r="U13" s="19">
        <v>0</v>
      </c>
      <c r="V13" s="19"/>
      <c r="W13" s="26">
        <f t="shared" ref="W13:W14" si="2">S13-T13</f>
        <v>198038</v>
      </c>
      <c r="X13" s="34" t="s">
        <v>22</v>
      </c>
    </row>
    <row r="14" spans="1:25" ht="16.5" thickBot="1" x14ac:dyDescent="0.3">
      <c r="A14" s="1">
        <v>55676</v>
      </c>
      <c r="B14" s="27"/>
      <c r="C14" s="28"/>
      <c r="D14" s="35"/>
      <c r="E14" s="16"/>
      <c r="F14" s="36"/>
      <c r="G14" s="79">
        <f t="shared" si="0"/>
        <v>0</v>
      </c>
      <c r="H14" s="36"/>
      <c r="I14" s="80">
        <f t="shared" si="1"/>
        <v>0</v>
      </c>
      <c r="J14" s="81">
        <f t="shared" ref="J14:J16" si="3">G14*$J$6</f>
        <v>0</v>
      </c>
      <c r="K14" s="22"/>
      <c r="L14" s="22"/>
      <c r="M14" s="22"/>
      <c r="N14" s="22"/>
      <c r="O14" s="22"/>
      <c r="P14" s="22"/>
      <c r="Q14" s="13"/>
      <c r="R14" s="33" t="s">
        <v>26</v>
      </c>
      <c r="S14" s="24">
        <v>60075</v>
      </c>
      <c r="T14" s="24">
        <v>0</v>
      </c>
      <c r="U14" s="19">
        <v>0</v>
      </c>
      <c r="V14" s="19"/>
      <c r="W14" s="26">
        <f t="shared" si="2"/>
        <v>60075</v>
      </c>
      <c r="X14" s="34" t="s">
        <v>27</v>
      </c>
    </row>
    <row r="15" spans="1:25" s="40" customFormat="1" ht="16.5" thickBot="1" x14ac:dyDescent="0.3">
      <c r="B15" s="45"/>
      <c r="C15" s="90"/>
      <c r="D15" s="91"/>
      <c r="E15" s="41"/>
      <c r="F15" s="42"/>
      <c r="G15" s="92">
        <f t="shared" si="0"/>
        <v>0</v>
      </c>
      <c r="H15" s="42"/>
      <c r="I15" s="93">
        <f t="shared" si="1"/>
        <v>0</v>
      </c>
      <c r="J15" s="94">
        <f t="shared" si="3"/>
        <v>0</v>
      </c>
      <c r="K15" s="48"/>
      <c r="L15" s="48"/>
      <c r="M15" s="48"/>
      <c r="N15" s="48"/>
      <c r="O15" s="48"/>
      <c r="P15" s="48"/>
      <c r="Q15" s="43"/>
      <c r="R15" s="49"/>
      <c r="S15" s="47"/>
      <c r="T15" s="47"/>
      <c r="U15" s="47"/>
      <c r="V15" s="47"/>
      <c r="W15" s="50"/>
      <c r="X15" s="44"/>
      <c r="Y15" s="88">
        <f>SUM(P12:P14)-SUM(W12:W14)</f>
        <v>33375</v>
      </c>
    </row>
    <row r="16" spans="1:25" ht="16.5" thickBot="1" x14ac:dyDescent="0.25">
      <c r="A16" s="1">
        <v>60694</v>
      </c>
      <c r="B16" s="89" t="s">
        <v>57</v>
      </c>
      <c r="C16" s="28">
        <v>45235</v>
      </c>
      <c r="D16" s="29">
        <v>62</v>
      </c>
      <c r="E16" s="38">
        <v>361000</v>
      </c>
      <c r="F16" s="36">
        <v>34236</v>
      </c>
      <c r="G16" s="79">
        <f t="shared" si="0"/>
        <v>326764</v>
      </c>
      <c r="H16" s="36">
        <f>G16*18%</f>
        <v>58817.52</v>
      </c>
      <c r="I16" s="80">
        <f t="shared" si="1"/>
        <v>385581.52</v>
      </c>
      <c r="J16" s="81">
        <f t="shared" si="3"/>
        <v>3267.64</v>
      </c>
      <c r="K16" s="53">
        <f>G16*5%</f>
        <v>16338.2</v>
      </c>
      <c r="L16" s="53"/>
      <c r="M16" s="53">
        <f>I16*10%</f>
        <v>38558.152000000002</v>
      </c>
      <c r="N16" s="53">
        <f>H16</f>
        <v>58817.52</v>
      </c>
      <c r="O16" s="53">
        <v>0</v>
      </c>
      <c r="P16" s="53">
        <v>274482</v>
      </c>
      <c r="Q16" s="39"/>
      <c r="R16" s="54" t="s">
        <v>31</v>
      </c>
      <c r="S16" s="52"/>
      <c r="T16" s="52"/>
      <c r="U16" s="52"/>
      <c r="V16" s="52"/>
      <c r="W16" s="55">
        <v>274482</v>
      </c>
      <c r="X16" s="56" t="s">
        <v>28</v>
      </c>
    </row>
    <row r="17" spans="1:25" ht="16.5" thickBot="1" x14ac:dyDescent="0.25">
      <c r="A17" s="1">
        <v>60694</v>
      </c>
      <c r="B17" s="89" t="s">
        <v>20</v>
      </c>
      <c r="C17" s="51"/>
      <c r="D17" s="29">
        <v>62</v>
      </c>
      <c r="E17" s="36">
        <f>H16</f>
        <v>58817.52</v>
      </c>
      <c r="F17" s="36">
        <v>0</v>
      </c>
      <c r="G17" s="79">
        <f t="shared" si="0"/>
        <v>58818</v>
      </c>
      <c r="H17" s="36"/>
      <c r="I17" s="80"/>
      <c r="J17" s="81"/>
      <c r="K17" s="53"/>
      <c r="L17" s="53"/>
      <c r="M17" s="53"/>
      <c r="N17" s="53"/>
      <c r="O17" s="53"/>
      <c r="P17" s="53">
        <f>G17</f>
        <v>58818</v>
      </c>
      <c r="Q17" s="39"/>
      <c r="R17" s="54" t="s">
        <v>30</v>
      </c>
      <c r="S17" s="52"/>
      <c r="T17" s="52"/>
      <c r="U17" s="52"/>
      <c r="V17" s="52"/>
      <c r="W17" s="55">
        <v>58818</v>
      </c>
      <c r="X17" s="56" t="s">
        <v>29</v>
      </c>
    </row>
    <row r="18" spans="1:25" x14ac:dyDescent="0.2">
      <c r="A18" s="1">
        <v>60694</v>
      </c>
      <c r="B18" s="89"/>
      <c r="C18" s="51"/>
      <c r="D18" s="29"/>
      <c r="E18" s="36"/>
      <c r="F18" s="36"/>
      <c r="G18" s="79">
        <f t="shared" si="0"/>
        <v>0</v>
      </c>
      <c r="H18" s="36"/>
      <c r="I18" s="80"/>
      <c r="J18" s="81"/>
      <c r="K18" s="53"/>
      <c r="L18" s="53"/>
      <c r="M18" s="53"/>
      <c r="N18" s="53"/>
      <c r="O18" s="53"/>
      <c r="P18" s="87"/>
      <c r="Q18" s="39"/>
      <c r="R18" s="54"/>
      <c r="S18" s="52"/>
      <c r="T18" s="52"/>
      <c r="U18" s="52"/>
      <c r="V18" s="52"/>
      <c r="W18" s="55"/>
      <c r="X18" s="56"/>
    </row>
    <row r="19" spans="1:25" ht="16.5" thickBot="1" x14ac:dyDescent="0.3">
      <c r="A19" s="1">
        <v>60694</v>
      </c>
      <c r="B19" s="58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9"/>
      <c r="Y19" s="95">
        <f>SUM(P16:P19)-SUM(W16:W19)</f>
        <v>0</v>
      </c>
    </row>
    <row r="20" spans="1:25" x14ac:dyDescent="0.25">
      <c r="A20" s="19"/>
      <c r="B20" s="67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6"/>
      <c r="X20" s="66"/>
    </row>
    <row r="21" spans="1:25" x14ac:dyDescent="0.25">
      <c r="A21" s="24"/>
      <c r="B21" s="24"/>
      <c r="C21" s="24"/>
      <c r="D21" s="24"/>
      <c r="E21" s="24"/>
      <c r="F21" s="24"/>
      <c r="G21" s="24"/>
      <c r="H21" s="24"/>
      <c r="I21" s="24"/>
      <c r="J21" s="60" t="s">
        <v>5</v>
      </c>
      <c r="K21" s="60"/>
      <c r="L21" s="60"/>
      <c r="M21" s="60"/>
      <c r="N21" s="60"/>
      <c r="O21" s="60"/>
      <c r="P21" s="60">
        <f>SUM(P7:P18)</f>
        <v>1090335</v>
      </c>
      <c r="Q21" s="60"/>
      <c r="R21" s="60" t="s">
        <v>7</v>
      </c>
      <c r="S21" s="60"/>
      <c r="T21" s="60"/>
      <c r="U21" s="60"/>
      <c r="V21" s="60"/>
      <c r="W21" s="61">
        <f>SUM(W6:W19)</f>
        <v>1056959</v>
      </c>
      <c r="X21" s="24"/>
    </row>
    <row r="22" spans="1:25" x14ac:dyDescent="0.25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19"/>
      <c r="X22" s="36"/>
    </row>
    <row r="23" spans="1:25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60" t="s">
        <v>6</v>
      </c>
      <c r="S23" s="24"/>
      <c r="T23" s="24"/>
      <c r="U23" s="60"/>
      <c r="V23" s="24"/>
      <c r="W23" s="61">
        <f>P21-W21</f>
        <v>33376</v>
      </c>
      <c r="X23" s="62"/>
    </row>
    <row r="24" spans="1:25" x14ac:dyDescent="0.25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19"/>
      <c r="X24" s="36"/>
    </row>
    <row r="27" spans="1:25" ht="16.5" thickBot="1" x14ac:dyDescent="0.3"/>
    <row r="28" spans="1:25" x14ac:dyDescent="0.25">
      <c r="N28" s="107" t="s">
        <v>32</v>
      </c>
      <c r="O28" s="108"/>
      <c r="P28" s="109"/>
    </row>
    <row r="29" spans="1:25" ht="16.5" thickBot="1" x14ac:dyDescent="0.3">
      <c r="N29" s="96" t="s">
        <v>33</v>
      </c>
      <c r="O29" s="97"/>
      <c r="P29" s="98">
        <f>W23</f>
        <v>33376</v>
      </c>
    </row>
  </sheetData>
  <mergeCells count="1">
    <mergeCell ref="N28:P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2025-05-27T08:55:44Z</dcterms:modified>
</cp:coreProperties>
</file>