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DE83527E-9ACC-49B1-B509-7E9F49C61B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ster sheet" sheetId="1" r:id="rId1"/>
    <sheet name="Sheet1" sheetId="5" r:id="rId2"/>
    <sheet name="Cement" sheetId="2" r:id="rId3"/>
    <sheet name="TMT" sheetId="3" r:id="rId4"/>
    <sheet name="Master sheet (2)" sheetId="4" r:id="rId5"/>
  </sheets>
  <definedNames>
    <definedName name="_xlnm._FilterDatabase" localSheetId="2" hidden="1">Cement!$A$1:$R$18</definedName>
    <definedName name="_xlnm._FilterDatabase" localSheetId="0" hidden="1">'Master sheet'!$B$1:$B$172</definedName>
    <definedName name="_xlnm._FilterDatabase" localSheetId="4" hidden="1">'Master sheet (2)'!$B$1:$B$89</definedName>
    <definedName name="_xlnm._FilterDatabase" localSheetId="3" hidden="1">TMT!$A$1:$S$12</definedName>
    <definedName name="_xlnm.Print_Area" localSheetId="0">'Master sheet'!$A$1:$U$118</definedName>
    <definedName name="_xlnm.Print_Area" localSheetId="4">'Master sheet (2)'!$A$1:$U$35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6" i="1" l="1"/>
  <c r="E117" i="1" s="1"/>
  <c r="E114" i="1"/>
  <c r="T107" i="1"/>
  <c r="Q107" i="1"/>
  <c r="H98" i="1"/>
  <c r="N98" i="1" s="1"/>
  <c r="I98" i="1" l="1"/>
  <c r="P98" i="1" s="1"/>
  <c r="K98" i="1"/>
  <c r="L98" i="1"/>
  <c r="M98" i="1"/>
  <c r="N115" i="1"/>
  <c r="S94" i="1"/>
  <c r="H40" i="1"/>
  <c r="K40" i="1" s="1"/>
  <c r="Q25" i="4"/>
  <c r="O25" i="4"/>
  <c r="N25" i="4"/>
  <c r="B32" i="4"/>
  <c r="T25" i="4"/>
  <c r="F25" i="4"/>
  <c r="B33" i="4" s="1"/>
  <c r="B34" i="4" s="1"/>
  <c r="H17" i="4"/>
  <c r="L17" i="4" s="1"/>
  <c r="G17" i="4"/>
  <c r="H13" i="4"/>
  <c r="K13" i="4" s="1"/>
  <c r="G13" i="4"/>
  <c r="G25" i="4" s="1"/>
  <c r="H10" i="4"/>
  <c r="V7" i="4"/>
  <c r="J98" i="1" l="1"/>
  <c r="R98" i="1"/>
  <c r="V98" i="1" s="1"/>
  <c r="N40" i="1"/>
  <c r="L40" i="1"/>
  <c r="I40" i="1"/>
  <c r="P40" i="1" s="1"/>
  <c r="I17" i="4"/>
  <c r="P17" i="4" s="1"/>
  <c r="M17" i="4"/>
  <c r="F26" i="4"/>
  <c r="K10" i="4"/>
  <c r="I10" i="4"/>
  <c r="P10" i="4" s="1"/>
  <c r="L10" i="4"/>
  <c r="L25" i="4" s="1"/>
  <c r="J17" i="4"/>
  <c r="L13" i="4"/>
  <c r="I13" i="4"/>
  <c r="P13" i="4" s="1"/>
  <c r="M13" i="4"/>
  <c r="M25" i="4" s="1"/>
  <c r="K17" i="4"/>
  <c r="P25" i="4" l="1"/>
  <c r="K25" i="4"/>
  <c r="J40" i="1"/>
  <c r="R40" i="1" s="1"/>
  <c r="V40" i="1" s="1"/>
  <c r="J10" i="4"/>
  <c r="R10" i="4" s="1"/>
  <c r="J13" i="4"/>
  <c r="R13" i="4" s="1"/>
  <c r="V13" i="4" s="1"/>
  <c r="R17" i="4"/>
  <c r="V17" i="4" s="1"/>
  <c r="N34" i="4"/>
  <c r="V10" i="4" l="1"/>
  <c r="R25" i="4"/>
  <c r="N31" i="4"/>
  <c r="T27" i="4"/>
  <c r="N32" i="4" s="1"/>
  <c r="V25" i="4" l="1"/>
  <c r="H95" i="1" l="1"/>
  <c r="L95" i="1" s="1"/>
  <c r="I95" i="1" l="1"/>
  <c r="P95" i="1" s="1"/>
  <c r="K95" i="1"/>
  <c r="J95" i="1" l="1"/>
  <c r="R95" i="1" s="1"/>
  <c r="V95" i="1" s="1"/>
  <c r="H66" i="1" l="1"/>
  <c r="L66" i="1" s="1"/>
  <c r="G66" i="1"/>
  <c r="I66" i="1" l="1"/>
  <c r="P66" i="1" s="1"/>
  <c r="K66" i="1"/>
  <c r="H84" i="1"/>
  <c r="K84" i="1" s="1"/>
  <c r="P54" i="1"/>
  <c r="R82" i="1"/>
  <c r="H88" i="1"/>
  <c r="K88" i="1" s="1"/>
  <c r="G88" i="1"/>
  <c r="H44" i="1"/>
  <c r="L44" i="1" s="1"/>
  <c r="V47" i="1"/>
  <c r="J66" i="1" l="1"/>
  <c r="R66" i="1"/>
  <c r="V66" i="1" s="1"/>
  <c r="L84" i="1"/>
  <c r="I84" i="1"/>
  <c r="P84" i="1" s="1"/>
  <c r="N88" i="1"/>
  <c r="L88" i="1"/>
  <c r="I88" i="1"/>
  <c r="P88" i="1" s="1"/>
  <c r="E89" i="1" s="1"/>
  <c r="R89" i="1" s="1"/>
  <c r="M88" i="1"/>
  <c r="I44" i="1"/>
  <c r="P44" i="1" s="1"/>
  <c r="K44" i="1"/>
  <c r="H72" i="1"/>
  <c r="L72" i="1" s="1"/>
  <c r="J84" i="1" l="1"/>
  <c r="R84" i="1" s="1"/>
  <c r="V84" i="1" s="1"/>
  <c r="J88" i="1"/>
  <c r="R88" i="1" s="1"/>
  <c r="V88" i="1" s="1"/>
  <c r="J44" i="1"/>
  <c r="R44" i="1" s="1"/>
  <c r="V44" i="1" s="1"/>
  <c r="K72" i="1"/>
  <c r="I72" i="1"/>
  <c r="P72" i="1" s="1"/>
  <c r="M72" i="1"/>
  <c r="N72" i="1"/>
  <c r="J72" i="1" l="1"/>
  <c r="R72" i="1" s="1"/>
  <c r="G92" i="1"/>
  <c r="H92" i="1"/>
  <c r="H50" i="1"/>
  <c r="M50" i="1" s="1"/>
  <c r="G50" i="1"/>
  <c r="H81" i="1"/>
  <c r="L81" i="1" s="1"/>
  <c r="G8" i="1"/>
  <c r="G22" i="1"/>
  <c r="G70" i="1"/>
  <c r="G61" i="1"/>
  <c r="O12" i="3"/>
  <c r="I12" i="3"/>
  <c r="G12" i="3"/>
  <c r="H12" i="3" s="1"/>
  <c r="J12" i="3" s="1"/>
  <c r="O11" i="3"/>
  <c r="I11" i="3"/>
  <c r="G11" i="3"/>
  <c r="H11" i="3" s="1"/>
  <c r="O10" i="3"/>
  <c r="I10" i="3"/>
  <c r="G10" i="3"/>
  <c r="H10" i="3" s="1"/>
  <c r="O9" i="3"/>
  <c r="I9" i="3"/>
  <c r="G9" i="3"/>
  <c r="H9" i="3" s="1"/>
  <c r="O8" i="3"/>
  <c r="I8" i="3"/>
  <c r="G8" i="3"/>
  <c r="H8" i="3" s="1"/>
  <c r="O7" i="3"/>
  <c r="I7" i="3"/>
  <c r="G7" i="3"/>
  <c r="H7" i="3" s="1"/>
  <c r="O6" i="3"/>
  <c r="I6" i="3"/>
  <c r="G6" i="3"/>
  <c r="H6" i="3" s="1"/>
  <c r="O5" i="3"/>
  <c r="I5" i="3"/>
  <c r="G5" i="3"/>
  <c r="H5" i="3" s="1"/>
  <c r="O4" i="3"/>
  <c r="I4" i="3"/>
  <c r="G4" i="3"/>
  <c r="H4" i="3" s="1"/>
  <c r="J4" i="3" s="1"/>
  <c r="O3" i="3"/>
  <c r="I3" i="3"/>
  <c r="G3" i="3"/>
  <c r="H3" i="3" s="1"/>
  <c r="O2" i="3"/>
  <c r="I2" i="3"/>
  <c r="G2" i="3"/>
  <c r="H2" i="3" s="1"/>
  <c r="O18" i="2"/>
  <c r="I18" i="2"/>
  <c r="E18" i="2"/>
  <c r="O17" i="2"/>
  <c r="I17" i="2"/>
  <c r="E17" i="2"/>
  <c r="O16" i="2"/>
  <c r="I16" i="2"/>
  <c r="E16" i="2"/>
  <c r="O15" i="2"/>
  <c r="I15" i="2"/>
  <c r="E15" i="2"/>
  <c r="O14" i="2"/>
  <c r="I14" i="2"/>
  <c r="E14" i="2"/>
  <c r="O13" i="2"/>
  <c r="I13" i="2"/>
  <c r="E13" i="2"/>
  <c r="O12" i="2"/>
  <c r="I12" i="2"/>
  <c r="E12" i="2"/>
  <c r="O11" i="2"/>
  <c r="I11" i="2"/>
  <c r="E11" i="2"/>
  <c r="O10" i="2"/>
  <c r="I10" i="2"/>
  <c r="E10" i="2"/>
  <c r="O9" i="2"/>
  <c r="I9" i="2"/>
  <c r="E9" i="2"/>
  <c r="O8" i="2"/>
  <c r="I8" i="2"/>
  <c r="F8" i="2"/>
  <c r="E8" i="2"/>
  <c r="O7" i="2"/>
  <c r="I7" i="2"/>
  <c r="E7" i="2"/>
  <c r="G7" i="2" s="1"/>
  <c r="H7" i="2" s="1"/>
  <c r="O6" i="2"/>
  <c r="I6" i="2"/>
  <c r="E6" i="2"/>
  <c r="G6" i="2" s="1"/>
  <c r="H6" i="2" s="1"/>
  <c r="O5" i="2"/>
  <c r="I5" i="2"/>
  <c r="E5" i="2"/>
  <c r="G5" i="2" s="1"/>
  <c r="H5" i="2" s="1"/>
  <c r="O4" i="2"/>
  <c r="I4" i="2"/>
  <c r="E4" i="2"/>
  <c r="G4" i="2" s="1"/>
  <c r="H4" i="2" s="1"/>
  <c r="O3" i="2"/>
  <c r="I3" i="2"/>
  <c r="E3" i="2"/>
  <c r="G3" i="2" s="1"/>
  <c r="H3" i="2" s="1"/>
  <c r="O2" i="2"/>
  <c r="I2" i="2"/>
  <c r="E2" i="2"/>
  <c r="G2" i="2" s="1"/>
  <c r="H2" i="2" s="1"/>
  <c r="F107" i="1"/>
  <c r="I92" i="1" l="1"/>
  <c r="P92" i="1" s="1"/>
  <c r="M92" i="1"/>
  <c r="J9" i="3"/>
  <c r="L9" i="3" s="1"/>
  <c r="R9" i="3" s="1"/>
  <c r="S9" i="3" s="1"/>
  <c r="J3" i="2"/>
  <c r="L3" i="2" s="1"/>
  <c r="R3" i="2" s="1"/>
  <c r="K92" i="1"/>
  <c r="L92" i="1"/>
  <c r="I81" i="1"/>
  <c r="P81" i="1" s="1"/>
  <c r="K81" i="1"/>
  <c r="G107" i="1"/>
  <c r="F108" i="1" s="1"/>
  <c r="J5" i="2"/>
  <c r="L5" i="2" s="1"/>
  <c r="R5" i="2" s="1"/>
  <c r="J6" i="3"/>
  <c r="L6" i="3" s="1"/>
  <c r="R6" i="3" s="1"/>
  <c r="S6" i="3" s="1"/>
  <c r="J2" i="2"/>
  <c r="L2" i="2" s="1"/>
  <c r="R2" i="2" s="1"/>
  <c r="J8" i="3"/>
  <c r="L8" i="3" s="1"/>
  <c r="R8" i="3" s="1"/>
  <c r="S8" i="3" s="1"/>
  <c r="J3" i="3"/>
  <c r="L3" i="3" s="1"/>
  <c r="R3" i="3" s="1"/>
  <c r="S3" i="3" s="1"/>
  <c r="J11" i="3"/>
  <c r="L11" i="3" s="1"/>
  <c r="R11" i="3" s="1"/>
  <c r="S11" i="3" s="1"/>
  <c r="J7" i="2"/>
  <c r="L7" i="2" s="1"/>
  <c r="R7" i="2" s="1"/>
  <c r="J4" i="2"/>
  <c r="L4" i="2" s="1"/>
  <c r="R4" i="2" s="1"/>
  <c r="J5" i="3"/>
  <c r="L5" i="3" s="1"/>
  <c r="R5" i="3" s="1"/>
  <c r="S5" i="3" s="1"/>
  <c r="J6" i="2"/>
  <c r="L6" i="2" s="1"/>
  <c r="R6" i="2" s="1"/>
  <c r="J7" i="3"/>
  <c r="L7" i="3" s="1"/>
  <c r="R7" i="3" s="1"/>
  <c r="S7" i="3" s="1"/>
  <c r="J2" i="3"/>
  <c r="L2" i="3" s="1"/>
  <c r="R2" i="3" s="1"/>
  <c r="S2" i="3" s="1"/>
  <c r="J10" i="3"/>
  <c r="L10" i="3" s="1"/>
  <c r="R10" i="3" s="1"/>
  <c r="S10" i="3" s="1"/>
  <c r="L4" i="3"/>
  <c r="R4" i="3" s="1"/>
  <c r="S4" i="3" s="1"/>
  <c r="L12" i="3"/>
  <c r="R12" i="3" s="1"/>
  <c r="S12" i="3" s="1"/>
  <c r="G9" i="2"/>
  <c r="H9" i="2" s="1"/>
  <c r="J9" i="2" s="1"/>
  <c r="L9" i="2" s="1"/>
  <c r="R9" i="2" s="1"/>
  <c r="G12" i="2"/>
  <c r="H12" i="2" s="1"/>
  <c r="J12" i="2" s="1"/>
  <c r="L12" i="2" s="1"/>
  <c r="R12" i="2" s="1"/>
  <c r="G13" i="2"/>
  <c r="H13" i="2" s="1"/>
  <c r="J13" i="2" s="1"/>
  <c r="L13" i="2" s="1"/>
  <c r="R13" i="2" s="1"/>
  <c r="G16" i="2"/>
  <c r="H16" i="2" s="1"/>
  <c r="J16" i="2" s="1"/>
  <c r="L16" i="2" s="1"/>
  <c r="R16" i="2" s="1"/>
  <c r="G8" i="2"/>
  <c r="H8" i="2" s="1"/>
  <c r="J8" i="2" s="1"/>
  <c r="L8" i="2" s="1"/>
  <c r="R8" i="2" s="1"/>
  <c r="G10" i="2"/>
  <c r="H10" i="2" s="1"/>
  <c r="J10" i="2" s="1"/>
  <c r="L10" i="2" s="1"/>
  <c r="R10" i="2" s="1"/>
  <c r="G11" i="2"/>
  <c r="H11" i="2" s="1"/>
  <c r="J11" i="2" s="1"/>
  <c r="L11" i="2" s="1"/>
  <c r="R11" i="2" s="1"/>
  <c r="G14" i="2"/>
  <c r="H14" i="2" s="1"/>
  <c r="J14" i="2" s="1"/>
  <c r="L14" i="2" s="1"/>
  <c r="R14" i="2" s="1"/>
  <c r="G15" i="2"/>
  <c r="H15" i="2" s="1"/>
  <c r="J15" i="2" s="1"/>
  <c r="L15" i="2" s="1"/>
  <c r="R15" i="2" s="1"/>
  <c r="G17" i="2"/>
  <c r="H17" i="2" s="1"/>
  <c r="J17" i="2" s="1"/>
  <c r="L17" i="2" s="1"/>
  <c r="R17" i="2" s="1"/>
  <c r="G18" i="2"/>
  <c r="H18" i="2" s="1"/>
  <c r="J18" i="2" s="1"/>
  <c r="L18" i="2" s="1"/>
  <c r="R18" i="2" s="1"/>
  <c r="K25" i="1"/>
  <c r="I25" i="1"/>
  <c r="J25" i="1" s="1"/>
  <c r="L54" i="1"/>
  <c r="K54" i="1"/>
  <c r="H61" i="1"/>
  <c r="H30" i="1"/>
  <c r="P30" i="1" s="1"/>
  <c r="J92" i="1" l="1"/>
  <c r="R92" i="1" s="1"/>
  <c r="V92" i="1" s="1"/>
  <c r="R54" i="1"/>
  <c r="J81" i="1"/>
  <c r="R81" i="1" s="1"/>
  <c r="V81" i="1" s="1"/>
  <c r="L61" i="1"/>
  <c r="I61" i="1"/>
  <c r="P61" i="1" s="1"/>
  <c r="E62" i="1" s="1"/>
  <c r="R62" i="1" s="1"/>
  <c r="K61" i="1"/>
  <c r="I30" i="1"/>
  <c r="J30" i="1" s="1"/>
  <c r="N30" i="1" s="1"/>
  <c r="H71" i="1"/>
  <c r="M71" i="1" s="1"/>
  <c r="J61" i="1" l="1"/>
  <c r="R61" i="1" s="1"/>
  <c r="K30" i="1"/>
  <c r="L30" i="1"/>
  <c r="O30" i="1"/>
  <c r="N71" i="1"/>
  <c r="I71" i="1"/>
  <c r="P71" i="1" s="1"/>
  <c r="E74" i="1" s="1"/>
  <c r="R74" i="1" s="1"/>
  <c r="K71" i="1"/>
  <c r="L71" i="1"/>
  <c r="H35" i="1"/>
  <c r="H34" i="1"/>
  <c r="I34" i="1" s="1"/>
  <c r="P34" i="1" s="1"/>
  <c r="E37" i="1" s="1"/>
  <c r="R37" i="1" s="1"/>
  <c r="H70" i="1"/>
  <c r="L70" i="1" s="1"/>
  <c r="L55" i="1"/>
  <c r="K55" i="1"/>
  <c r="I55" i="1"/>
  <c r="J55" i="1" l="1"/>
  <c r="R55" i="1" s="1"/>
  <c r="V54" i="1" s="1"/>
  <c r="P55" i="1"/>
  <c r="E56" i="1"/>
  <c r="R56" i="1" s="1"/>
  <c r="V61" i="1"/>
  <c r="I70" i="1"/>
  <c r="P70" i="1" s="1"/>
  <c r="E73" i="1" s="1"/>
  <c r="R73" i="1" s="1"/>
  <c r="N70" i="1"/>
  <c r="N107" i="1" s="1"/>
  <c r="J71" i="1"/>
  <c r="R71" i="1" s="1"/>
  <c r="L35" i="1"/>
  <c r="L34" i="1"/>
  <c r="I35" i="1"/>
  <c r="J34" i="1"/>
  <c r="K35" i="1"/>
  <c r="K34" i="1"/>
  <c r="M70" i="1"/>
  <c r="M107" i="1" s="1"/>
  <c r="K70" i="1"/>
  <c r="P35" i="1" l="1"/>
  <c r="E36" i="1"/>
  <c r="R36" i="1" s="1"/>
  <c r="R34" i="1"/>
  <c r="J70" i="1"/>
  <c r="R70" i="1" s="1"/>
  <c r="V70" i="1" s="1"/>
  <c r="J35" i="1"/>
  <c r="R35" i="1" s="1"/>
  <c r="R29" i="1"/>
  <c r="E28" i="1"/>
  <c r="H28" i="1" s="1"/>
  <c r="K28" i="1" s="1"/>
  <c r="V34" i="1" l="1"/>
  <c r="L28" i="1"/>
  <c r="I28" i="1"/>
  <c r="P28" i="1" s="1"/>
  <c r="J28" i="1" l="1"/>
  <c r="R28" i="1" s="1"/>
  <c r="V28" i="1" s="1"/>
  <c r="R24" i="1" l="1"/>
  <c r="K24" i="1"/>
  <c r="I24" i="1"/>
  <c r="J24" i="1" s="1"/>
  <c r="E22" i="1"/>
  <c r="E23" i="1" s="1"/>
  <c r="H23" i="1" s="1"/>
  <c r="O23" i="1" s="1"/>
  <c r="H22" i="1" l="1"/>
  <c r="K22" i="1" s="1"/>
  <c r="K23" i="1"/>
  <c r="I23" i="1"/>
  <c r="P23" i="1" s="1"/>
  <c r="E25" i="1" s="1"/>
  <c r="R25" i="1" s="1"/>
  <c r="L23" i="1"/>
  <c r="L22" i="1" l="1"/>
  <c r="J23" i="1"/>
  <c r="R23" i="1" s="1"/>
  <c r="I22" i="1"/>
  <c r="P22" i="1" s="1"/>
  <c r="J22" i="1" l="1"/>
  <c r="R22" i="1" s="1"/>
  <c r="V22" i="1" s="1"/>
  <c r="R16" i="1"/>
  <c r="E15" i="1"/>
  <c r="H15" i="1" s="1"/>
  <c r="O15" i="1" s="1"/>
  <c r="E14" i="1"/>
  <c r="H14" i="1" s="1"/>
  <c r="L15" i="1" l="1"/>
  <c r="K15" i="1"/>
  <c r="I15" i="1"/>
  <c r="P15" i="1" s="1"/>
  <c r="L14" i="1"/>
  <c r="K14" i="1"/>
  <c r="I14" i="1"/>
  <c r="P14" i="1" s="1"/>
  <c r="J15" i="1" l="1"/>
  <c r="R15" i="1" s="1"/>
  <c r="J14" i="1"/>
  <c r="R14" i="1" s="1"/>
  <c r="V14" i="1" l="1"/>
  <c r="H8" i="1"/>
  <c r="O8" i="1" s="1"/>
  <c r="O107" i="1" s="1"/>
  <c r="L8" i="1" l="1"/>
  <c r="K8" i="1"/>
  <c r="I8" i="1"/>
  <c r="J8" i="1" l="1"/>
  <c r="P8" i="1"/>
  <c r="E9" i="1" l="1"/>
  <c r="R9" i="1" s="1"/>
  <c r="R8" i="1"/>
  <c r="H11" i="1"/>
  <c r="J11" i="1" s="1"/>
  <c r="K11" i="1" l="1"/>
  <c r="R11" i="1" s="1"/>
  <c r="H10" i="1"/>
  <c r="I10" i="1" s="1"/>
  <c r="J10" i="1" l="1"/>
  <c r="K10" i="1"/>
  <c r="R10" i="1" l="1"/>
  <c r="V8" i="1" l="1"/>
  <c r="L50" i="1"/>
  <c r="L107" i="1" s="1"/>
  <c r="K50" i="1"/>
  <c r="K107" i="1" s="1"/>
  <c r="I50" i="1"/>
  <c r="J50" i="1" s="1"/>
  <c r="N113" i="1" l="1"/>
  <c r="P50" i="1"/>
  <c r="N117" i="1" l="1"/>
  <c r="P107" i="1"/>
  <c r="R50" i="1"/>
  <c r="V50" i="1" l="1"/>
  <c r="R107" i="1"/>
  <c r="T109" i="1" s="1"/>
  <c r="N114" i="1" s="1"/>
  <c r="V107" i="1"/>
</calcChain>
</file>

<file path=xl/sharedStrings.xml><?xml version="1.0" encoding="utf-8"?>
<sst xmlns="http://schemas.openxmlformats.org/spreadsheetml/2006/main" count="347" uniqueCount="203">
  <si>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</si>
  <si>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</si>
  <si>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</si>
  <si>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</si>
  <si>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</si>
  <si>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</si>
  <si>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</si>
  <si>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</si>
  <si>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</si>
  <si>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</si>
  <si>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</si>
  <si>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</si>
  <si>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 xml:space="preserve">Debit </t>
  </si>
  <si>
    <t>After Debit Amt</t>
  </si>
  <si>
    <t>Shamli UP</t>
  </si>
  <si>
    <t>TDS (1%)</t>
  </si>
  <si>
    <t>M/s Soray Pratap contractor</t>
  </si>
  <si>
    <t>Painting &amp; finishing hold</t>
  </si>
  <si>
    <t>05-11-2022 NEFT/AXISP00334807141/RIUP22/1198/SORAY PRATAP CO 148500.00</t>
  </si>
  <si>
    <t>24-02-2023 NEFT/AXISP00365393659/RIUP22/2295/SORAY PRATAP CO 148500.00</t>
  </si>
  <si>
    <t>27-02-2023 NEFT/AXISP00365995603/RIUP22/2326/SORAY PRATAP CO 182102.00</t>
  </si>
  <si>
    <t>Ahatagoshgrah Village - Boundary wall work</t>
  </si>
  <si>
    <t>GST release note</t>
  </si>
  <si>
    <t>13-12-2022 NEFT/AXISP00345979694/RIUP22/1493/SORAY PRATAP CO 168448.00</t>
  </si>
  <si>
    <t>11-04-2023 NEFT/AXISP00380947716/SPUP23/0086/SORAY PRATAP CO 99000.00</t>
  </si>
  <si>
    <t>17-03-2023 NEFT/AXISP00372194504/RIUP22/2596/SORAY PRATAP CO 32256.00</t>
  </si>
  <si>
    <t>01-05-2023 NEFT/AXISP00385697765/SPUP23/0318/SORAY PRATAP CONTRA 36534.00</t>
  </si>
  <si>
    <t>16-12-2022 NEFT/AXISP00346969003/RIUP22/1539/SORAY PRATAP CO 139120.00</t>
  </si>
  <si>
    <t>17-03-2023 NEFT/AXISP00372194505/RIUP22/2597/SORAY PRATAP CO 26640.00</t>
  </si>
  <si>
    <t>10-05-2023 NEFT/AXISP00388990937/RIUP23/176/SORAY PRATAP CON 197183.00</t>
  </si>
  <si>
    <t>01-02-2023 NEFT/AXISP00359307474/RIUP22/2056/SORAY PRATAP CO ₹ 1,39,120.00</t>
  </si>
  <si>
    <t>17-03-2023 NEFT/AXISP00372194506/RIUP22/2598/SORAY PRATAP CO 26640.00</t>
  </si>
  <si>
    <t>01-06-2023 NEFT/AXISP00394836602/RIUP23/464/SORAY PRATAP CON 148500.00</t>
  </si>
  <si>
    <t>20-07-2023 NEFT/AXISP004081245212/RIUP23/1160/SORAY PRATAP 99000.00</t>
  </si>
  <si>
    <t>OC (10%)</t>
  </si>
  <si>
    <t>26-09-2023 NEFT/AXISP00427655675/RIUP23/2294/SORAY PRATAP CONTR 148500.00</t>
  </si>
  <si>
    <t>14-09-2023 NEFT/AXISP00424961335/RIUP23/2027/SORAY PRATAP CONTR 148500.00</t>
  </si>
  <si>
    <t>28-08-2023 NEFT/AXISP00418849258/RIUP23/1748/SORAY PRATAP CONTR  148500.00</t>
  </si>
  <si>
    <t>20-06-2023 NEFT/AXISP00399675466/RIUP23/704/SORAY PRATAP CON 217780.00</t>
  </si>
  <si>
    <t>02-08-2023 NEFT/AXISP00411992211/RIUP23/1217/SORAY PRATAP CO 75000.00</t>
  </si>
  <si>
    <t>08-08-2023 NEFT/AXISP00414077812/RIUP23/1418/SORAY PRATAP CO ₹ 3,03,122.00</t>
  </si>
  <si>
    <t>03-10-2023 NEFT/AXISP00430096881/RIUP23/2446/SORAY PRATAP CONTR  94176.00</t>
  </si>
  <si>
    <t>18-08-2023 NEFT/AXISP00416613513/RIUP23/1561/SORAY PRATAP CO 66863.00</t>
  </si>
  <si>
    <t>12-06-2023 NEFT/AXISP00397636777/RIUP23/592/SORAY PRATAP CON 197183.00</t>
  </si>
  <si>
    <t>31-08-2023 NEFT/AXISP00419716230/RIUP23/1801/SORAY PRATAP CONTR 27411.00</t>
  </si>
  <si>
    <t>31-08-2023 NEFT/AXISP00419716223/RIUP23/1794/SORAY PRATAP CONTR  39879.00</t>
  </si>
  <si>
    <t>31-08-2023 NEFT/AXISP00419716222/RIUP23/1793/SORAY PRATAP CONTR 39879.00</t>
  </si>
  <si>
    <t>10-11-2023 NEFT/AXISP00443569629/RIUP23/3270/SORAY PRATAP CONTR 49500.00</t>
  </si>
  <si>
    <t>20-09-2023 NEFT/AXISP00426340676/RIUP23/2143/SORAY PRATAP CONTR 115561.00</t>
  </si>
  <si>
    <t>28-08-2023 NEFT/AXISP00418849257/RIUP23/1747/SORAY PRATAP CONT  198000.0</t>
  </si>
  <si>
    <t>04-09-2023 NEFT/AXISP00421476871/RIUP23/1823/SORAY PRATAP CONTR 24717.00</t>
  </si>
  <si>
    <t>22-08-2023 NEFT/AXISP00417367248/RIUP23/1656/SORAY PRATAP 99000.00</t>
  </si>
  <si>
    <t>22-08-2023 NEFT/AXISP00417367248/RIUP23/1656/SORAY PRATAP  99000.00</t>
  </si>
  <si>
    <t>10-11-2023 NEFT/AXISP00443569630/RIUP23/3271/SORAY PRATAP CONTR 49500.00</t>
  </si>
  <si>
    <t>HT (10%)</t>
  </si>
  <si>
    <t>TMT</t>
  </si>
  <si>
    <t>Cement</t>
  </si>
  <si>
    <t>Yet to debit</t>
  </si>
  <si>
    <t>Date Of Issue</t>
  </si>
  <si>
    <t>Issue Slip No</t>
  </si>
  <si>
    <t>Name of Party</t>
  </si>
  <si>
    <t>QTY (BAG)</t>
  </si>
  <si>
    <t>IN TON</t>
  </si>
  <si>
    <t>RATE (PER TON)</t>
  </si>
  <si>
    <t>GST (28%)</t>
  </si>
  <si>
    <t>Amount (In Rs.)</t>
  </si>
  <si>
    <t>Unloading charges</t>
  </si>
  <si>
    <t>Total Amt</t>
  </si>
  <si>
    <t xml:space="preserve">ISSUE FOR </t>
  </si>
  <si>
    <t>AMOUNT</t>
  </si>
  <si>
    <t>DEBIT NOTE NO./DATE</t>
  </si>
  <si>
    <t>DEBIT QTY.</t>
  </si>
  <si>
    <t>BALANCE (IN NOS)</t>
  </si>
  <si>
    <t>WORK DESCRIPTION</t>
  </si>
  <si>
    <t>PMC NO. &amp; CONTRACTOR INVOICE DETAIL</t>
  </si>
  <si>
    <t>DEBIT DONE AMT.</t>
  </si>
  <si>
    <t>SORYA PARTAP SINGH</t>
  </si>
  <si>
    <t>MAKHERI KADARGARH</t>
  </si>
  <si>
    <t>119/8-5-23</t>
  </si>
  <si>
    <t>PUMP HOUSE</t>
  </si>
  <si>
    <t>AHATAGOSH GARH</t>
  </si>
  <si>
    <t>89/11-2-23</t>
  </si>
  <si>
    <t>AURANGABAD-GANDEWRA</t>
  </si>
  <si>
    <t>129/24-5-23</t>
  </si>
  <si>
    <t>230/7-12-23</t>
  </si>
  <si>
    <t>BOUNDARY WALL</t>
  </si>
  <si>
    <t>ALIPUR</t>
  </si>
  <si>
    <t>03/30-12-23</t>
  </si>
  <si>
    <t>OHT</t>
  </si>
  <si>
    <t>NAGAL ISMAILPUR</t>
  </si>
  <si>
    <t>01/30-12-23</t>
  </si>
  <si>
    <t>DEBIT IN NOJAL</t>
  </si>
  <si>
    <t>ALDI</t>
  </si>
  <si>
    <t>179/14-9-23</t>
  </si>
  <si>
    <t>CC ROAD RESTORATION</t>
  </si>
  <si>
    <t>201/28/10-23</t>
  </si>
  <si>
    <t>AHAMADPUR</t>
  </si>
  <si>
    <t>27/06-12-23</t>
  </si>
  <si>
    <t>SIZE (IN MM)</t>
  </si>
  <si>
    <t>ISSUE QTY (IN KGS)</t>
  </si>
  <si>
    <t>GST (18%)</t>
  </si>
  <si>
    <t>Hydra charges./ Unloading Charges</t>
  </si>
  <si>
    <t>TOTAL AMT.</t>
  </si>
  <si>
    <t>Amount (PER KGS)</t>
  </si>
  <si>
    <t>DEBIT QTY.(IN KGS)</t>
  </si>
  <si>
    <t>BALANCE (IN KGS)</t>
  </si>
  <si>
    <t>PMC No. &amp; CONTRACTOR INVOICE DETAIL</t>
  </si>
  <si>
    <t>BALANCE DEBIT</t>
  </si>
  <si>
    <t>8MM TMT</t>
  </si>
  <si>
    <t>NAGAL ISLMAILPUR</t>
  </si>
  <si>
    <t>02/30-12-23</t>
  </si>
  <si>
    <t>10MM TMT</t>
  </si>
  <si>
    <t>12MM TMT</t>
  </si>
  <si>
    <t>16MM TMT</t>
  </si>
  <si>
    <t>KHANPUR</t>
  </si>
  <si>
    <t>09-01-2024 NEFT/AXISP00461001721/RIUP23/4122/SORAY PRATAP CONTR/SBIN0005969 86266.00</t>
  </si>
  <si>
    <t>Total</t>
  </si>
  <si>
    <t>Debited</t>
  </si>
  <si>
    <t>Balance</t>
  </si>
  <si>
    <t>07-09-2023 NEFT/AXISP00422654370/RIUP23/1839/SORAY PRATAP CONTR/SBIN0005969 37600.00</t>
  </si>
  <si>
    <t>Nojali Najali - OHT</t>
  </si>
  <si>
    <t>05-07-2023 NEFT/AXISP00404073312/RIUP23/1003/SORAY PRATAP CO ₹ 1,48,500.00</t>
  </si>
  <si>
    <t>some Debit of Nagal Ismailpur adjusted</t>
  </si>
  <si>
    <t>Alipur - OHT</t>
  </si>
  <si>
    <t>Titarsi Pwarkhera - OHT</t>
  </si>
  <si>
    <t>19-06-2023 NEFT/AXISP00399550941/RIUP23/730/SORAY PRATAP CON 198000.00</t>
  </si>
  <si>
    <t>Khanpur - OHT</t>
  </si>
  <si>
    <t>19-06-2023 NEFT/AXISP00399550940/RIUP23/729/SORAY PRATAP CON 198000.00 215550482.74 CBB</t>
  </si>
  <si>
    <t>25-10-2023 NEFT/AXISP00436681638/RIUP23/2849/SORAY PRATAP CONTR/SBIN0005969 69300.00</t>
  </si>
  <si>
    <t>Yet to check the bill</t>
  </si>
  <si>
    <t xml:space="preserve">Advance </t>
  </si>
  <si>
    <t>58199 bill to be checked</t>
  </si>
  <si>
    <t>But added in the reconciliation</t>
  </si>
  <si>
    <t>Soray Pratap Contractor - All issues ( 16 No.) -  Shamli</t>
  </si>
  <si>
    <t>60356 bill to be booked adjusting in advance and excess debit</t>
  </si>
  <si>
    <t>24-11-2023 NEFT/AXISP00446415949/RIUP23/3414/SORAY PRATAP CONTR/SBIN0005969 148500.00</t>
  </si>
  <si>
    <t>08-11-2023 NEFT/AXISP00441999423/RIUP23/3013/SORAY PRATAP CONTR/SBIN0005969 179730.00</t>
  </si>
  <si>
    <t>13-10-2023 NEFT/AXISP00434019650/RIUP23/2634/SORAY PRATAP CONTR/SBIN0005969 99000.00</t>
  </si>
  <si>
    <t>Hold Amount</t>
  </si>
  <si>
    <t>Avance / Surplus</t>
  </si>
  <si>
    <t>Debit</t>
  </si>
  <si>
    <t>GST Remaining</t>
  </si>
  <si>
    <t>Nil</t>
  </si>
  <si>
    <t>05-02-2024 NEFT/AXISP00468222711/RIUP23/4565/SORAY PRATAP CONTR/SBIN0005969 164996.00</t>
  </si>
  <si>
    <t>01-02-2024 NEFT/AXISP00467376690/RIUP23/3979/SORAY PRATAP CONTR/SBIN0005969 69472.00</t>
  </si>
  <si>
    <t>16-12-2023 NEFT/AXISP00453579122/RIUP23/3816/SORAY PRATAP CONTR/SBIN0005969 148500.00</t>
  </si>
  <si>
    <t>17-01-2024 NEFT/AXISP00463099942/RIUP23/4193/SORAY PRATAP CONTR/SBIN0005969 174552.00</t>
  </si>
  <si>
    <t>01.06.2024</t>
  </si>
  <si>
    <t>12-03-2024 NEFT/AXISP00480051195/RIUP23/5083/SORAY PRATAP CONTR/SBIN0005969 89100.00</t>
  </si>
  <si>
    <t>GST</t>
  </si>
  <si>
    <t>12-03-2024 NEFT/AXISP00480051197/RIUP23/5082/SORAY PRATAP CONTR/SBIN0005969 148500.00</t>
  </si>
  <si>
    <t>13 &amp;14</t>
  </si>
  <si>
    <t>29-06-2024 NEFT/AXISP00512933444/RIUP24/1005/SORAY PRATAP CONTR/SBIN0005969 150000.00</t>
  </si>
  <si>
    <t>DPR Excess Hold</t>
  </si>
  <si>
    <t>23-JUL-24-NEFT-SBIN0005969-SORAY PRATAP CONTRACTOR-RIUP24/1240 YESIG42050097606 RS 1,48,500.00</t>
  </si>
  <si>
    <t>04-09-2024 NEFT/AXISP00535970656/RIUP24/1629/SORAY PRATAP CONTR/SBIN0005969 ₹ 99,000.00</t>
  </si>
  <si>
    <t>04-09-2024 NEFT/AXISP00535970657/RIUP24/1630/SORAY PRATAP CONTR/SBIN0005969 ₹ 49,500.00</t>
  </si>
  <si>
    <t>5 Bills</t>
  </si>
  <si>
    <t>30/10/2024</t>
  </si>
  <si>
    <t>Excess Hold</t>
  </si>
  <si>
    <t>14-02-2025 NEFT/AXISP00615924240/RIUP24/3154/SORAY PRATAP CONTR/SBIN0005969 100000.00</t>
  </si>
  <si>
    <t>14-02-2025 NEFT/AXISP00615924241/RIUP24/3155/SORAY PRATAP CONTR/SBIN0005969 49500.00</t>
  </si>
  <si>
    <t>17-09-2024 NEFT/AXISP00541269874/RIUP24/1807/SORAY PRATAP CONTR/SBIN0005969 74250.00</t>
  </si>
  <si>
    <t>Not boked</t>
  </si>
  <si>
    <t>19-03-2025 NEFT/AXISP00635603359/RIUP24/3454/SORAY PRATAP CONTR/SBIN0005969 123750.00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</si>
  <si>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</si>
  <si>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</si>
  <si>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</si>
  <si>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</si>
  <si>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</si>
  <si>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</si>
  <si>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</si>
  <si>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</si>
  <si>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</si>
  <si>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</si>
  <si>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</si>
  <si>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</si>
  <si>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</si>
  <si>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</si>
  <si>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</si>
  <si>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</si>
  <si>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</si>
  <si>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</si>
  <si>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</si>
  <si>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 xml:space="preserve">Ahatgoshgarh village Pump house  work </t>
  </si>
  <si>
    <t>Ahatagoshgrah Village Boundary wall work</t>
  </si>
  <si>
    <t xml:space="preserve">kadargarh Village  Pump House work </t>
  </si>
  <si>
    <t xml:space="preserve"> Auranagabad Urf Gandewra  PH work</t>
  </si>
  <si>
    <t>Kelashikarpur village pipeline work</t>
  </si>
  <si>
    <t>Nagal Ismailpur  village OHT work</t>
  </si>
  <si>
    <t>Khanpur village OHT work</t>
  </si>
  <si>
    <t>Nojali Najali village OHT work</t>
  </si>
  <si>
    <t>Titarasi Pawarkhera village Pipeline RR work</t>
  </si>
  <si>
    <t xml:space="preserve"> Auranagabad Urf Gandewra village BW work</t>
  </si>
  <si>
    <t>Ahamadapur village BW work</t>
  </si>
  <si>
    <t>Aldi village Pipeline work</t>
  </si>
  <si>
    <t>Makheri Kadar Garah village DG work</t>
  </si>
  <si>
    <t>Ahamadpur village PH work</t>
  </si>
  <si>
    <t xml:space="preserve">AHAMADPUR village Pipe Line Restoration Work </t>
  </si>
  <si>
    <t>Alipur village OHT work</t>
  </si>
  <si>
    <t>Kadargarh village pipeline RR work</t>
  </si>
  <si>
    <t>SAIHTA village Pipe Line Road Restoration Work</t>
  </si>
  <si>
    <t>advance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</si>
</sst>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[$-409]d\-mmm\-yyyy;@"/>
    <numFmt numFmtId="167" formatCode="[$-409]d\-mmm\-yy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omic Sans MS"/>
      <family val="4"/>
    </font>
    <font>
      <b/>
      <sz val="11"/>
      <color theme="1"/>
      <name val="Comic Sans MS"/>
      <family val="4"/>
    </font>
    <font>
      <sz val="9"/>
      <color rgb="FFFF0000"/>
      <name val="Comic Sans MS"/>
      <family val="4"/>
    </font>
    <font>
      <sz val="9"/>
      <name val="Comic Sans MS"/>
      <family val="4"/>
    </font>
    <font>
      <sz val="10"/>
      <color theme="1"/>
      <name val="Comic Sans MS"/>
      <family val="4"/>
    </font>
    <font>
      <b/>
      <sz val="14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164" fontId="5" fillId="2" borderId="1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2" fontId="9" fillId="6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2" fontId="7" fillId="2" borderId="1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4" fontId="5" fillId="2" borderId="7" xfId="1" applyNumberFormat="1" applyFont="1" applyFill="1" applyBorder="1" applyAlignment="1">
      <alignment vertical="center"/>
    </xf>
    <xf numFmtId="164" fontId="5" fillId="4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64" fontId="6" fillId="2" borderId="7" xfId="1" applyNumberFormat="1" applyFont="1" applyFill="1" applyBorder="1" applyAlignment="1">
      <alignment horizontal="center" vertical="center"/>
    </xf>
    <xf numFmtId="164" fontId="5" fillId="2" borderId="7" xfId="1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4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164" fontId="14" fillId="7" borderId="8" xfId="1" applyNumberFormat="1" applyFont="1" applyFill="1" applyBorder="1" applyAlignment="1">
      <alignment vertical="center"/>
    </xf>
    <xf numFmtId="0" fontId="8" fillId="2" borderId="8" xfId="0" applyFont="1" applyFill="1" applyBorder="1"/>
    <xf numFmtId="0" fontId="0" fillId="3" borderId="8" xfId="0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vertical="center" wrapText="1"/>
    </xf>
    <xf numFmtId="164" fontId="3" fillId="5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164" fontId="5" fillId="2" borderId="8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4" borderId="9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4" borderId="7" xfId="1" applyNumberFormat="1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4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0" fillId="2" borderId="0" xfId="1" applyFont="1" applyFill="1" applyAlignment="1">
      <alignment vertical="center"/>
    </xf>
    <xf numFmtId="43" fontId="3" fillId="2" borderId="0" xfId="1" applyFont="1" applyFill="1" applyAlignment="1">
      <alignment vertical="center"/>
    </xf>
    <xf numFmtId="43" fontId="5" fillId="2" borderId="7" xfId="1" applyFont="1" applyFill="1" applyBorder="1" applyAlignment="1">
      <alignment horizontal="center" vertical="center" wrapText="1"/>
    </xf>
    <xf numFmtId="43" fontId="3" fillId="2" borderId="9" xfId="1" applyFont="1" applyFill="1" applyBorder="1" applyAlignment="1">
      <alignment vertical="center"/>
    </xf>
    <xf numFmtId="43" fontId="3" fillId="3" borderId="10" xfId="1" applyFont="1" applyFill="1" applyBorder="1" applyAlignment="1">
      <alignment vertical="center"/>
    </xf>
    <xf numFmtId="43" fontId="3" fillId="2" borderId="8" xfId="1" applyFont="1" applyFill="1" applyBorder="1" applyAlignment="1">
      <alignment vertical="center"/>
    </xf>
    <xf numFmtId="43" fontId="3" fillId="3" borderId="8" xfId="1" applyFont="1" applyFill="1" applyBorder="1" applyAlignment="1">
      <alignment vertical="center"/>
    </xf>
    <xf numFmtId="43" fontId="0" fillId="2" borderId="8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15" fillId="0" borderId="0" xfId="1" applyFont="1" applyFill="1" applyBorder="1" applyAlignment="1">
      <alignment vertical="center"/>
    </xf>
    <xf numFmtId="164" fontId="3" fillId="8" borderId="8" xfId="1" applyNumberFormat="1" applyFont="1" applyFill="1" applyBorder="1" applyAlignment="1">
      <alignment vertical="center"/>
    </xf>
    <xf numFmtId="164" fontId="14" fillId="0" borderId="8" xfId="1" applyNumberFormat="1" applyFont="1" applyFill="1" applyBorder="1" applyAlignment="1">
      <alignment vertical="center"/>
    </xf>
    <xf numFmtId="164" fontId="15" fillId="0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 wrapText="1"/>
    </xf>
    <xf numFmtId="164" fontId="17" fillId="2" borderId="0" xfId="1" applyNumberFormat="1" applyFont="1" applyFill="1" applyBorder="1" applyAlignment="1">
      <alignment vertical="center"/>
    </xf>
    <xf numFmtId="0" fontId="8" fillId="0" borderId="0" xfId="0" applyFont="1"/>
    <xf numFmtId="0" fontId="7" fillId="0" borderId="0" xfId="0" applyFont="1"/>
    <xf numFmtId="164" fontId="18" fillId="2" borderId="11" xfId="2" applyFont="1" applyFill="1" applyBorder="1" applyAlignment="1">
      <alignment vertical="center"/>
    </xf>
    <xf numFmtId="164" fontId="18" fillId="2" borderId="12" xfId="2" applyFont="1" applyFill="1" applyBorder="1" applyAlignment="1">
      <alignment vertical="center"/>
    </xf>
    <xf numFmtId="0" fontId="19" fillId="2" borderId="12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164" fontId="20" fillId="2" borderId="7" xfId="2" applyFont="1" applyFill="1" applyBorder="1" applyAlignment="1">
      <alignment horizontal="center" vertical="center"/>
    </xf>
    <xf numFmtId="164" fontId="7" fillId="2" borderId="7" xfId="2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3" fillId="2" borderId="0" xfId="0" applyNumberFormat="1" applyFont="1" applyFill="1" applyAlignment="1">
      <alignment vertical="center"/>
    </xf>
    <xf numFmtId="167" fontId="7" fillId="2" borderId="7" xfId="0" applyNumberFormat="1" applyFont="1" applyFill="1" applyBorder="1" applyAlignment="1">
      <alignment horizontal="center" vertical="center"/>
    </xf>
    <xf numFmtId="167" fontId="3" fillId="2" borderId="9" xfId="1" applyNumberFormat="1" applyFont="1" applyFill="1" applyBorder="1" applyAlignment="1">
      <alignment vertical="center"/>
    </xf>
    <xf numFmtId="167" fontId="3" fillId="3" borderId="10" xfId="1" applyNumberFormat="1" applyFont="1" applyFill="1" applyBorder="1" applyAlignment="1">
      <alignment vertical="center"/>
    </xf>
    <xf numFmtId="167" fontId="3" fillId="2" borderId="8" xfId="0" applyNumberFormat="1" applyFont="1" applyFill="1" applyBorder="1" applyAlignment="1">
      <alignment horizontal="center" vertical="center"/>
    </xf>
    <xf numFmtId="167" fontId="3" fillId="3" borderId="8" xfId="1" applyNumberFormat="1" applyFont="1" applyFill="1" applyBorder="1" applyAlignment="1">
      <alignment vertical="center"/>
    </xf>
    <xf numFmtId="167" fontId="3" fillId="2" borderId="8" xfId="1" applyNumberFormat="1" applyFont="1" applyFill="1" applyBorder="1" applyAlignment="1">
      <alignment vertical="center"/>
    </xf>
    <xf numFmtId="167" fontId="3" fillId="2" borderId="7" xfId="1" applyNumberFormat="1" applyFont="1" applyFill="1" applyBorder="1" applyAlignment="1">
      <alignment vertical="center"/>
    </xf>
    <xf numFmtId="167" fontId="3" fillId="2" borderId="0" xfId="1" applyNumberFormat="1" applyFont="1" applyFill="1" applyBorder="1" applyAlignment="1">
      <alignment vertical="center"/>
    </xf>
    <xf numFmtId="167" fontId="5" fillId="2" borderId="0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horizontal="center" vertical="center"/>
    </xf>
    <xf numFmtId="164" fontId="5" fillId="2" borderId="6" xfId="1" applyNumberFormat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horizontal="right" vertical="center"/>
    </xf>
    <xf numFmtId="164" fontId="5" fillId="2" borderId="6" xfId="1" applyNumberFormat="1" applyFont="1" applyFill="1" applyBorder="1" applyAlignment="1">
      <alignment horizontal="right" vertical="center"/>
    </xf>
    <xf numFmtId="164" fontId="5" fillId="2" borderId="8" xfId="1" applyNumberFormat="1" applyFont="1" applyFill="1" applyBorder="1" applyAlignment="1">
      <alignment horizontal="center" vertical="center"/>
    </xf>
    <xf numFmtId="164" fontId="13" fillId="2" borderId="4" xfId="1" applyNumberFormat="1" applyFont="1" applyFill="1" applyBorder="1" applyAlignment="1">
      <alignment horizontal="center" vertical="center"/>
    </xf>
    <xf numFmtId="164" fontId="13" fillId="2" borderId="5" xfId="1" applyNumberFormat="1" applyFont="1" applyFill="1" applyBorder="1" applyAlignment="1">
      <alignment horizontal="center" vertical="center"/>
    </xf>
    <xf numFmtId="164" fontId="13" fillId="2" borderId="6" xfId="1" applyNumberFormat="1" applyFont="1" applyFill="1" applyBorder="1" applyAlignment="1">
      <alignment horizontal="center" vertical="center"/>
    </xf>
    <xf numFmtId="14" fontId="12" fillId="2" borderId="4" xfId="1" applyNumberFormat="1" applyFont="1" applyFill="1" applyBorder="1" applyAlignment="1">
      <alignment horizontal="center" vertical="center"/>
    </xf>
    <xf numFmtId="164" fontId="12" fillId="2" borderId="5" xfId="1" applyNumberFormat="1" applyFont="1" applyFill="1" applyBorder="1" applyAlignment="1">
      <alignment horizontal="center" vertical="center"/>
    </xf>
    <xf numFmtId="164" fontId="12" fillId="2" borderId="6" xfId="1" applyNumberFormat="1" applyFont="1" applyFill="1" applyBorder="1" applyAlignment="1">
      <alignment horizontal="center" vertical="center"/>
    </xf>
    <xf numFmtId="14" fontId="16" fillId="2" borderId="4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25A7A802-17C7-4BDB-9750-2B35E82F5AD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2"/>
  <sheetViews>
    <sheetView tabSelected="1" zoomScale="76" zoomScaleNormal="100" zoomScaleSheetLayoutView="85" workbookViewId="0">
      <pane ySplit="5" topLeftCell="A6" activePane="bottomLeft" state="frozen"/>
      <selection activeCell="H24" sqref="H24"/>
      <selection pane="bottomLeft" activeCell="M2" sqref="M2"/>
    </sheetView>
  </sheetViews>
  <sheetFormatPr defaultColWidth="9" defaultRowHeight="30" customHeight="1" x14ac:dyDescent="0.3"/>
  <cols>
    <col min="1" max="1" width="10" style="1" bestFit="1" customWidth="1"/>
    <col min="2" max="2" width="34.44140625" style="2" bestFit="1" customWidth="1"/>
    <col min="3" max="3" width="13.44140625" style="94" bestFit="1" customWidth="1"/>
    <col min="4" max="4" width="11.5546875" style="2" bestFit="1" customWidth="1"/>
    <col min="5" max="5" width="13.33203125" style="8" bestFit="1" customWidth="1"/>
    <col min="6" max="6" width="13.33203125" style="8" customWidth="1"/>
    <col min="7" max="7" width="13.33203125" style="6" hidden="1" customWidth="1"/>
    <col min="8" max="8" width="13.33203125" style="2" customWidth="1"/>
    <col min="9" max="9" width="14.6640625" style="9" customWidth="1"/>
    <col min="10" max="10" width="12.88671875" style="9" bestFit="1" customWidth="1"/>
    <col min="11" max="11" width="10.6640625" style="2" bestFit="1" customWidth="1"/>
    <col min="12" max="15" width="13.5546875" style="2" customWidth="1"/>
    <col min="16" max="16" width="14.88671875" style="2" customWidth="1"/>
    <col min="17" max="17" width="13.5546875" style="70" customWidth="1"/>
    <col min="18" max="18" width="14.88671875" style="2" customWidth="1"/>
    <col min="19" max="19" width="10" style="1" bestFit="1" customWidth="1"/>
    <col min="20" max="20" width="14.88671875" style="2" bestFit="1" customWidth="1"/>
    <col min="21" max="21" width="96.5546875" style="2" bestFit="1" customWidth="1"/>
    <col min="22" max="22" width="14.88671875" style="2" bestFit="1" customWidth="1"/>
    <col min="23" max="16384" width="9" style="2"/>
  </cols>
  <sheetData>
    <row r="1" spans="1:22" ht="30" customHeight="1" thickBot="1" x14ac:dyDescent="0.35">
      <c r="A1" s="86" t="s">
        <v>165</v>
      </c>
      <c r="B1" s="84" t="s">
        <v>16</v>
      </c>
      <c r="D1" s="6"/>
      <c r="E1" s="6"/>
      <c r="F1" s="2"/>
      <c r="G1" s="2"/>
      <c r="H1" s="3"/>
      <c r="I1" s="3"/>
      <c r="S1" s="14"/>
    </row>
    <row r="2" spans="1:22" ht="25.5" customHeight="1" thickBot="1" x14ac:dyDescent="0.35">
      <c r="A2" s="86" t="s">
        <v>166</v>
      </c>
      <c r="B2" s="87" t="s">
        <v>167</v>
      </c>
      <c r="D2" s="6"/>
      <c r="E2" s="6"/>
      <c r="F2" s="2"/>
      <c r="G2" s="2" t="s">
        <v>147</v>
      </c>
      <c r="H2" s="11"/>
      <c r="I2" s="12"/>
      <c r="K2" s="5"/>
      <c r="L2" s="5"/>
      <c r="M2" s="5"/>
      <c r="N2" s="5"/>
      <c r="O2" s="5"/>
      <c r="P2" s="5"/>
      <c r="Q2" s="71"/>
      <c r="R2" s="5"/>
      <c r="S2" s="4"/>
    </row>
    <row r="3" spans="1:22" ht="25.5" customHeight="1" thickBot="1" x14ac:dyDescent="0.35">
      <c r="A3" s="86" t="s">
        <v>168</v>
      </c>
      <c r="B3" s="88" t="s">
        <v>169</v>
      </c>
      <c r="D3" s="6"/>
      <c r="E3" s="6"/>
      <c r="F3" s="2"/>
      <c r="G3" s="2"/>
      <c r="H3" s="11"/>
      <c r="I3" s="12"/>
      <c r="K3" s="5"/>
      <c r="L3" s="5"/>
      <c r="M3" s="5"/>
      <c r="N3" s="5"/>
      <c r="O3" s="5"/>
      <c r="P3" s="5"/>
      <c r="Q3" s="71"/>
      <c r="R3" s="5"/>
      <c r="S3" s="4"/>
    </row>
    <row r="4" spans="1:22" ht="26.25" customHeight="1" thickBot="1" x14ac:dyDescent="0.35">
      <c r="A4" s="86" t="s">
        <v>170</v>
      </c>
      <c r="B4" s="89" t="s">
        <v>169</v>
      </c>
      <c r="C4" s="95"/>
      <c r="D4" s="5"/>
      <c r="E4" s="6"/>
      <c r="F4" s="6"/>
      <c r="H4" s="84"/>
      <c r="I4" s="6"/>
      <c r="J4" s="6"/>
      <c r="K4" s="5"/>
      <c r="L4" s="5"/>
      <c r="M4" s="5"/>
      <c r="N4" s="5"/>
      <c r="O4" s="5"/>
      <c r="Q4" s="71"/>
      <c r="T4" s="7"/>
      <c r="U4" s="7"/>
      <c r="V4" s="7"/>
    </row>
    <row r="5" spans="1:22" s="1" customFormat="1" ht="28.8" x14ac:dyDescent="0.3">
      <c r="A5" s="31" t="s">
        <v>171</v>
      </c>
      <c r="B5" s="90" t="s">
        <v>172</v>
      </c>
      <c r="C5" s="96" t="s">
        <v>173</v>
      </c>
      <c r="D5" s="91" t="s">
        <v>174</v>
      </c>
      <c r="E5" s="90" t="s">
        <v>175</v>
      </c>
      <c r="F5" s="90" t="s">
        <v>176</v>
      </c>
      <c r="G5" s="91" t="s">
        <v>177</v>
      </c>
      <c r="H5" s="92" t="s">
        <v>178</v>
      </c>
      <c r="I5" s="93" t="s">
        <v>6</v>
      </c>
      <c r="J5" s="90" t="s">
        <v>179</v>
      </c>
      <c r="K5" s="90" t="s">
        <v>180</v>
      </c>
      <c r="L5" s="35" t="s">
        <v>11</v>
      </c>
      <c r="M5" s="35" t="s">
        <v>54</v>
      </c>
      <c r="N5" s="35" t="s">
        <v>34</v>
      </c>
      <c r="O5" s="35" t="s">
        <v>17</v>
      </c>
      <c r="P5" s="90" t="s">
        <v>181</v>
      </c>
      <c r="Q5" s="72" t="s">
        <v>153</v>
      </c>
      <c r="R5" s="90" t="s">
        <v>182</v>
      </c>
      <c r="S5" s="31"/>
      <c r="T5" s="90" t="s">
        <v>183</v>
      </c>
      <c r="U5" s="90" t="s">
        <v>10</v>
      </c>
      <c r="V5" s="35"/>
    </row>
    <row r="6" spans="1:22" ht="19.5" customHeight="1" thickBot="1" x14ac:dyDescent="0.35">
      <c r="A6" s="68"/>
      <c r="B6" s="59"/>
      <c r="C6" s="97"/>
      <c r="D6" s="59"/>
      <c r="E6" s="59"/>
      <c r="F6" s="59"/>
      <c r="G6" s="60"/>
      <c r="H6" s="59"/>
      <c r="I6" s="59"/>
      <c r="J6" s="59"/>
      <c r="K6" s="69">
        <v>0.01</v>
      </c>
      <c r="L6" s="69">
        <v>0.05</v>
      </c>
      <c r="M6" s="69">
        <v>0.1</v>
      </c>
      <c r="N6" s="69">
        <v>0.1</v>
      </c>
      <c r="O6" s="69">
        <v>0.05</v>
      </c>
      <c r="P6" s="59"/>
      <c r="Q6" s="73"/>
      <c r="R6" s="59"/>
      <c r="S6" s="68"/>
      <c r="T6" s="59"/>
      <c r="U6" s="59"/>
      <c r="V6" s="59"/>
    </row>
    <row r="7" spans="1:22" ht="30" customHeight="1" x14ac:dyDescent="0.3">
      <c r="A7" s="63">
        <v>53023</v>
      </c>
      <c r="B7" s="64"/>
      <c r="C7" s="98"/>
      <c r="D7" s="64"/>
      <c r="E7" s="64"/>
      <c r="F7" s="64"/>
      <c r="G7" s="65"/>
      <c r="H7" s="64"/>
      <c r="I7" s="64"/>
      <c r="J7" s="64"/>
      <c r="K7" s="66"/>
      <c r="L7" s="66"/>
      <c r="M7" s="66"/>
      <c r="N7" s="66"/>
      <c r="O7" s="66"/>
      <c r="P7" s="64"/>
      <c r="Q7" s="74"/>
      <c r="R7" s="64"/>
      <c r="S7" s="67">
        <v>53023</v>
      </c>
      <c r="T7" s="64"/>
      <c r="U7" s="64"/>
      <c r="V7" s="64"/>
    </row>
    <row r="8" spans="1:22" ht="30" customHeight="1" x14ac:dyDescent="0.3">
      <c r="A8" s="63">
        <v>53023</v>
      </c>
      <c r="B8" s="46" t="s">
        <v>184</v>
      </c>
      <c r="C8" s="99">
        <v>44968</v>
      </c>
      <c r="D8" s="47">
        <v>4</v>
      </c>
      <c r="E8" s="39">
        <v>381000</v>
      </c>
      <c r="F8" s="39">
        <v>9537.5</v>
      </c>
      <c r="G8" s="40">
        <f>9537.5-F8</f>
        <v>0</v>
      </c>
      <c r="H8" s="39">
        <f>E8-F8</f>
        <v>371462.5</v>
      </c>
      <c r="I8" s="39">
        <f>ROUND(H8*18%,0)</f>
        <v>66863</v>
      </c>
      <c r="J8" s="39">
        <f>H8+I8</f>
        <v>438325.5</v>
      </c>
      <c r="K8" s="39">
        <f>ROUND(H8*$K$6,0)</f>
        <v>3715</v>
      </c>
      <c r="L8" s="39">
        <f>ROUND(H8*$L$6,0)</f>
        <v>18573</v>
      </c>
      <c r="M8" s="39"/>
      <c r="N8" s="39"/>
      <c r="O8" s="39">
        <f>H8*O6</f>
        <v>18573.125</v>
      </c>
      <c r="P8" s="48">
        <f>I8</f>
        <v>66863</v>
      </c>
      <c r="Q8" s="75"/>
      <c r="R8" s="39">
        <f>ROUND(J8-SUM(K8:P8),)</f>
        <v>330601</v>
      </c>
      <c r="S8" s="38"/>
      <c r="T8" s="39">
        <v>148500</v>
      </c>
      <c r="U8" s="41" t="s">
        <v>18</v>
      </c>
      <c r="V8" s="39">
        <f>SUM(R8:R12)-SUM(T8:T12)</f>
        <v>-148501</v>
      </c>
    </row>
    <row r="9" spans="1:22" ht="30" customHeight="1" x14ac:dyDescent="0.3">
      <c r="A9" s="63">
        <v>53023</v>
      </c>
      <c r="B9" s="46" t="s">
        <v>22</v>
      </c>
      <c r="C9" s="99">
        <v>44968</v>
      </c>
      <c r="D9" s="47"/>
      <c r="E9" s="39">
        <f>P8</f>
        <v>66863</v>
      </c>
      <c r="F9" s="39"/>
      <c r="G9" s="40"/>
      <c r="H9" s="39"/>
      <c r="I9" s="39"/>
      <c r="J9" s="39"/>
      <c r="K9" s="39"/>
      <c r="L9" s="39"/>
      <c r="M9" s="39"/>
      <c r="N9" s="39"/>
      <c r="O9" s="39"/>
      <c r="P9" s="39"/>
      <c r="Q9" s="75"/>
      <c r="R9" s="48">
        <f>E9</f>
        <v>66863</v>
      </c>
      <c r="S9" s="38"/>
      <c r="T9" s="39">
        <v>148500</v>
      </c>
      <c r="U9" s="41" t="s">
        <v>19</v>
      </c>
      <c r="V9" s="39"/>
    </row>
    <row r="10" spans="1:22" ht="30" customHeight="1" x14ac:dyDescent="0.3">
      <c r="A10" s="63">
        <v>53023</v>
      </c>
      <c r="B10" s="46"/>
      <c r="C10" s="99"/>
      <c r="D10" s="47"/>
      <c r="E10" s="39"/>
      <c r="F10" s="39">
        <v>0</v>
      </c>
      <c r="G10" s="40"/>
      <c r="H10" s="39">
        <f>E10-F10</f>
        <v>0</v>
      </c>
      <c r="I10" s="39">
        <f>H10*18%</f>
        <v>0</v>
      </c>
      <c r="J10" s="39">
        <f>H10+I10</f>
        <v>0</v>
      </c>
      <c r="K10" s="39">
        <f>H10*$K$6</f>
        <v>0</v>
      </c>
      <c r="L10" s="39"/>
      <c r="M10" s="39"/>
      <c r="N10" s="39"/>
      <c r="O10" s="39"/>
      <c r="P10" s="39"/>
      <c r="Q10" s="75"/>
      <c r="R10" s="39">
        <f>ROUND(J10-SUM(K10:P10),)</f>
        <v>0</v>
      </c>
      <c r="S10" s="38"/>
      <c r="T10" s="39">
        <v>182102</v>
      </c>
      <c r="U10" s="41" t="s">
        <v>20</v>
      </c>
      <c r="V10" s="39"/>
    </row>
    <row r="11" spans="1:22" ht="30" customHeight="1" x14ac:dyDescent="0.3">
      <c r="A11" s="63">
        <v>53023</v>
      </c>
      <c r="B11" s="46"/>
      <c r="C11" s="99"/>
      <c r="D11" s="47"/>
      <c r="E11" s="39"/>
      <c r="F11" s="39">
        <v>0</v>
      </c>
      <c r="G11" s="40"/>
      <c r="H11" s="39">
        <f>E11-F11</f>
        <v>0</v>
      </c>
      <c r="I11" s="39">
        <v>0</v>
      </c>
      <c r="J11" s="39">
        <f>H11+I11</f>
        <v>0</v>
      </c>
      <c r="K11" s="39">
        <f>K$6*J11</f>
        <v>0</v>
      </c>
      <c r="L11" s="39">
        <v>0</v>
      </c>
      <c r="M11" s="39"/>
      <c r="N11" s="39"/>
      <c r="O11" s="39"/>
      <c r="P11" s="39">
        <v>0</v>
      </c>
      <c r="Q11" s="75"/>
      <c r="R11" s="39">
        <f>ROUND(J11-SUM(K11:P11),)</f>
        <v>0</v>
      </c>
      <c r="S11" s="38"/>
      <c r="T11" s="39">
        <v>66863</v>
      </c>
      <c r="U11" s="41" t="s">
        <v>42</v>
      </c>
      <c r="V11" s="39"/>
    </row>
    <row r="12" spans="1:22" ht="30" customHeight="1" x14ac:dyDescent="0.2">
      <c r="A12" s="63">
        <v>53023</v>
      </c>
      <c r="B12" s="46"/>
      <c r="C12" s="99"/>
      <c r="D12" s="47"/>
      <c r="E12" s="39"/>
      <c r="F12" s="39"/>
      <c r="G12" s="40"/>
      <c r="H12" s="39"/>
      <c r="I12" s="39"/>
      <c r="J12" s="39"/>
      <c r="K12" s="39"/>
      <c r="L12" s="39"/>
      <c r="M12" s="39"/>
      <c r="N12" s="39"/>
      <c r="O12" s="39"/>
      <c r="P12" s="39"/>
      <c r="Q12" s="75"/>
      <c r="R12" s="39"/>
      <c r="S12" s="38"/>
      <c r="T12" s="39"/>
      <c r="U12" s="49"/>
      <c r="V12" s="39"/>
    </row>
    <row r="13" spans="1:22" ht="30" customHeight="1" x14ac:dyDescent="0.3">
      <c r="A13" s="42">
        <v>53576</v>
      </c>
      <c r="B13" s="43"/>
      <c r="C13" s="100"/>
      <c r="D13" s="43"/>
      <c r="E13" s="43"/>
      <c r="F13" s="43"/>
      <c r="G13" s="40"/>
      <c r="H13" s="43"/>
      <c r="I13" s="43"/>
      <c r="J13" s="43"/>
      <c r="K13" s="44"/>
      <c r="L13" s="44"/>
      <c r="M13" s="44"/>
      <c r="N13" s="44"/>
      <c r="O13" s="44"/>
      <c r="P13" s="43"/>
      <c r="Q13" s="76"/>
      <c r="R13" s="43"/>
      <c r="S13" s="45">
        <v>53576</v>
      </c>
      <c r="T13" s="43"/>
      <c r="U13" s="43"/>
      <c r="V13" s="43"/>
    </row>
    <row r="14" spans="1:22" ht="30" customHeight="1" x14ac:dyDescent="0.3">
      <c r="A14" s="42">
        <v>53576</v>
      </c>
      <c r="B14" s="46" t="s">
        <v>21</v>
      </c>
      <c r="C14" s="99">
        <v>44888</v>
      </c>
      <c r="D14" s="47">
        <v>1</v>
      </c>
      <c r="E14" s="39">
        <f>(102.4*3500)*50%</f>
        <v>179200</v>
      </c>
      <c r="F14" s="39">
        <v>0</v>
      </c>
      <c r="G14" s="40"/>
      <c r="H14" s="39">
        <f>E14-F14</f>
        <v>179200</v>
      </c>
      <c r="I14" s="39">
        <f>ROUND(H14*18%,0)</f>
        <v>32256</v>
      </c>
      <c r="J14" s="39">
        <f>H14+I14</f>
        <v>211456</v>
      </c>
      <c r="K14" s="39">
        <f>ROUND(H14*$K$6,0)</f>
        <v>1792</v>
      </c>
      <c r="L14" s="39">
        <f>ROUND(H14*$L$6,0)</f>
        <v>8960</v>
      </c>
      <c r="M14" s="39"/>
      <c r="N14" s="39"/>
      <c r="O14" s="39"/>
      <c r="P14" s="48">
        <f>I14</f>
        <v>32256</v>
      </c>
      <c r="Q14" s="75"/>
      <c r="R14" s="39">
        <f>ROUND(J14-SUM(K14:P14),)</f>
        <v>168448</v>
      </c>
      <c r="S14" s="38"/>
      <c r="T14" s="39">
        <v>168448</v>
      </c>
      <c r="U14" s="41" t="s">
        <v>23</v>
      </c>
      <c r="V14" s="39">
        <f>SUM(R14:R20)-SUM(T14:T20)</f>
        <v>0</v>
      </c>
    </row>
    <row r="15" spans="1:22" ht="30" customHeight="1" x14ac:dyDescent="0.3">
      <c r="A15" s="42">
        <v>53576</v>
      </c>
      <c r="B15" s="46" t="s">
        <v>185</v>
      </c>
      <c r="C15" s="99">
        <v>45019</v>
      </c>
      <c r="D15" s="47">
        <v>5</v>
      </c>
      <c r="E15" s="39">
        <f>43.51*3500</f>
        <v>152285</v>
      </c>
      <c r="F15" s="39">
        <v>0</v>
      </c>
      <c r="G15" s="40"/>
      <c r="H15" s="39">
        <f>E15-F15</f>
        <v>152285</v>
      </c>
      <c r="I15" s="39">
        <f>ROUND(H15*18%,0)</f>
        <v>27411</v>
      </c>
      <c r="J15" s="39">
        <f>H15+I15</f>
        <v>179696</v>
      </c>
      <c r="K15" s="39">
        <f>ROUND(H15*$K$6,0)</f>
        <v>1523</v>
      </c>
      <c r="L15" s="39">
        <f>ROUND(H15*$L$6,0)</f>
        <v>7614</v>
      </c>
      <c r="M15" s="39"/>
      <c r="N15" s="39"/>
      <c r="O15" s="39">
        <f>H15*5%</f>
        <v>7614.25</v>
      </c>
      <c r="P15" s="48">
        <f>I15</f>
        <v>27411</v>
      </c>
      <c r="Q15" s="75"/>
      <c r="R15" s="39">
        <f>ROUND(J15-SUM(K15:P15),)</f>
        <v>135534</v>
      </c>
      <c r="S15" s="38"/>
      <c r="T15" s="39">
        <v>99000</v>
      </c>
      <c r="U15" s="41" t="s">
        <v>24</v>
      </c>
      <c r="V15" s="39"/>
    </row>
    <row r="16" spans="1:22" ht="30" customHeight="1" x14ac:dyDescent="0.3">
      <c r="A16" s="42">
        <v>53576</v>
      </c>
      <c r="B16" s="46" t="s">
        <v>22</v>
      </c>
      <c r="C16" s="99"/>
      <c r="D16" s="47">
        <v>1</v>
      </c>
      <c r="E16" s="39">
        <v>32256</v>
      </c>
      <c r="F16" s="39">
        <v>0</v>
      </c>
      <c r="G16" s="40"/>
      <c r="H16" s="39">
        <v>0</v>
      </c>
      <c r="I16" s="39">
        <v>0</v>
      </c>
      <c r="J16" s="39">
        <v>0</v>
      </c>
      <c r="K16" s="39">
        <v>0</v>
      </c>
      <c r="L16" s="39"/>
      <c r="M16" s="39"/>
      <c r="N16" s="39"/>
      <c r="O16" s="39"/>
      <c r="P16" s="39"/>
      <c r="Q16" s="75"/>
      <c r="R16" s="48">
        <f>E16</f>
        <v>32256</v>
      </c>
      <c r="S16" s="38"/>
      <c r="T16" s="39">
        <v>32256</v>
      </c>
      <c r="U16" s="41" t="s">
        <v>25</v>
      </c>
      <c r="V16" s="39"/>
    </row>
    <row r="17" spans="1:22" ht="30" customHeight="1" x14ac:dyDescent="0.3">
      <c r="A17" s="42">
        <v>53576</v>
      </c>
      <c r="B17" s="46" t="s">
        <v>22</v>
      </c>
      <c r="C17" s="99">
        <v>45019</v>
      </c>
      <c r="D17" s="47">
        <v>5</v>
      </c>
      <c r="E17" s="39">
        <v>27411</v>
      </c>
      <c r="F17" s="39"/>
      <c r="G17" s="40"/>
      <c r="H17" s="39"/>
      <c r="I17" s="39"/>
      <c r="J17" s="39"/>
      <c r="K17" s="39"/>
      <c r="L17" s="39"/>
      <c r="M17" s="39"/>
      <c r="N17" s="39"/>
      <c r="O17" s="39"/>
      <c r="P17" s="39"/>
      <c r="Q17" s="75"/>
      <c r="R17" s="48">
        <v>27411</v>
      </c>
      <c r="S17" s="38"/>
      <c r="T17" s="39">
        <v>36534</v>
      </c>
      <c r="U17" s="41" t="s">
        <v>26</v>
      </c>
      <c r="V17" s="39"/>
    </row>
    <row r="18" spans="1:22" ht="30" customHeight="1" x14ac:dyDescent="0.3">
      <c r="A18" s="42">
        <v>53576</v>
      </c>
      <c r="B18" s="46"/>
      <c r="C18" s="99"/>
      <c r="D18" s="47"/>
      <c r="E18" s="39"/>
      <c r="F18" s="39"/>
      <c r="G18" s="40"/>
      <c r="H18" s="39"/>
      <c r="I18" s="39"/>
      <c r="J18" s="39"/>
      <c r="K18" s="39"/>
      <c r="L18" s="39"/>
      <c r="M18" s="39"/>
      <c r="N18" s="39"/>
      <c r="O18" s="39"/>
      <c r="P18" s="39"/>
      <c r="Q18" s="75"/>
      <c r="R18" s="39"/>
      <c r="S18" s="38"/>
      <c r="T18" s="39">
        <v>27411</v>
      </c>
      <c r="U18" s="41" t="s">
        <v>44</v>
      </c>
      <c r="V18" s="39"/>
    </row>
    <row r="19" spans="1:22" ht="30" customHeight="1" x14ac:dyDescent="0.3">
      <c r="A19" s="42">
        <v>53576</v>
      </c>
      <c r="B19" s="46"/>
      <c r="C19" s="99"/>
      <c r="D19" s="47"/>
      <c r="E19" s="39"/>
      <c r="F19" s="39"/>
      <c r="G19" s="40"/>
      <c r="H19" s="39"/>
      <c r="I19" s="39"/>
      <c r="J19" s="39"/>
      <c r="K19" s="39"/>
      <c r="L19" s="39"/>
      <c r="M19" s="39"/>
      <c r="N19" s="39"/>
      <c r="O19" s="39"/>
      <c r="P19" s="39"/>
      <c r="Q19" s="75"/>
      <c r="R19" s="39"/>
      <c r="S19" s="38"/>
      <c r="T19" s="39"/>
      <c r="U19" s="41"/>
      <c r="V19" s="39"/>
    </row>
    <row r="20" spans="1:22" ht="30" customHeight="1" x14ac:dyDescent="0.3">
      <c r="A20" s="42">
        <v>53576</v>
      </c>
      <c r="B20" s="46"/>
      <c r="C20" s="99"/>
      <c r="D20" s="47"/>
      <c r="E20" s="39"/>
      <c r="F20" s="39"/>
      <c r="G20" s="40"/>
      <c r="H20" s="39"/>
      <c r="I20" s="39"/>
      <c r="J20" s="39"/>
      <c r="K20" s="39"/>
      <c r="L20" s="39"/>
      <c r="M20" s="39"/>
      <c r="N20" s="39"/>
      <c r="O20" s="39"/>
      <c r="P20" s="39"/>
      <c r="Q20" s="75"/>
      <c r="R20" s="39"/>
      <c r="S20" s="38"/>
      <c r="T20" s="39"/>
      <c r="U20" s="41"/>
      <c r="V20" s="39"/>
    </row>
    <row r="21" spans="1:22" ht="30" customHeight="1" x14ac:dyDescent="0.3">
      <c r="A21" s="42">
        <v>53791</v>
      </c>
      <c r="B21" s="43"/>
      <c r="C21" s="100"/>
      <c r="D21" s="43"/>
      <c r="E21" s="43"/>
      <c r="F21" s="43"/>
      <c r="G21" s="40"/>
      <c r="H21" s="43"/>
      <c r="I21" s="43"/>
      <c r="J21" s="43"/>
      <c r="K21" s="43"/>
      <c r="L21" s="43"/>
      <c r="M21" s="43"/>
      <c r="N21" s="43"/>
      <c r="O21" s="43"/>
      <c r="P21" s="43"/>
      <c r="Q21" s="76"/>
      <c r="R21" s="43"/>
      <c r="S21" s="45">
        <v>53791</v>
      </c>
      <c r="T21" s="43"/>
      <c r="U21" s="50"/>
      <c r="V21" s="43"/>
    </row>
    <row r="22" spans="1:22" ht="30" customHeight="1" x14ac:dyDescent="0.3">
      <c r="A22" s="42">
        <v>53791</v>
      </c>
      <c r="B22" s="46" t="s">
        <v>186</v>
      </c>
      <c r="C22" s="99">
        <v>44904</v>
      </c>
      <c r="D22" s="47">
        <v>2</v>
      </c>
      <c r="E22" s="39">
        <f>370000*40%</f>
        <v>148000</v>
      </c>
      <c r="F22" s="39">
        <v>0</v>
      </c>
      <c r="G22" s="40">
        <f>11445-F23</f>
        <v>0</v>
      </c>
      <c r="H22" s="39">
        <f>E22-F22</f>
        <v>148000</v>
      </c>
      <c r="I22" s="39">
        <f>ROUND(H22*18%,0)</f>
        <v>26640</v>
      </c>
      <c r="J22" s="39">
        <f>H22+I22</f>
        <v>174640</v>
      </c>
      <c r="K22" s="39">
        <f>ROUND(H22*$K$6,0)</f>
        <v>1480</v>
      </c>
      <c r="L22" s="39">
        <f>ROUND(H22*$L$6,0)</f>
        <v>7400</v>
      </c>
      <c r="M22" s="39"/>
      <c r="N22" s="39"/>
      <c r="O22" s="39"/>
      <c r="P22" s="48">
        <f>I22</f>
        <v>26640</v>
      </c>
      <c r="Q22" s="75"/>
      <c r="R22" s="39">
        <f>ROUND(J22-SUM(K22:P22),)</f>
        <v>139120</v>
      </c>
      <c r="S22" s="38"/>
      <c r="T22" s="39">
        <v>139120</v>
      </c>
      <c r="U22" s="41" t="s">
        <v>27</v>
      </c>
      <c r="V22" s="39">
        <f>SUM(R22:R26)-SUM(T22:T26)</f>
        <v>1</v>
      </c>
    </row>
    <row r="23" spans="1:22" ht="30" customHeight="1" x14ac:dyDescent="0.3">
      <c r="A23" s="42">
        <v>53791</v>
      </c>
      <c r="B23" s="46" t="s">
        <v>186</v>
      </c>
      <c r="C23" s="99">
        <v>45054</v>
      </c>
      <c r="D23" s="47">
        <v>7</v>
      </c>
      <c r="E23" s="39">
        <f>381000-E22</f>
        <v>233000</v>
      </c>
      <c r="F23" s="39">
        <v>11445</v>
      </c>
      <c r="G23" s="40"/>
      <c r="H23" s="39">
        <f>E23-F23</f>
        <v>221555</v>
      </c>
      <c r="I23" s="39">
        <f>ROUND(H23*18%,0)</f>
        <v>39880</v>
      </c>
      <c r="J23" s="39">
        <f>H23+I23</f>
        <v>261435</v>
      </c>
      <c r="K23" s="39">
        <f>ROUND(H23*$K$6,0)</f>
        <v>2216</v>
      </c>
      <c r="L23" s="39">
        <f>ROUND(H23*$L$6,0)</f>
        <v>11078</v>
      </c>
      <c r="M23" s="39"/>
      <c r="N23" s="39"/>
      <c r="O23" s="39">
        <f>H23*5%</f>
        <v>11077.75</v>
      </c>
      <c r="P23" s="48">
        <f>I23</f>
        <v>39880</v>
      </c>
      <c r="Q23" s="75"/>
      <c r="R23" s="39">
        <f>ROUND(J23-SUM(K23:P23),)</f>
        <v>197183</v>
      </c>
      <c r="S23" s="38"/>
      <c r="T23" s="39">
        <v>26640</v>
      </c>
      <c r="U23" s="41" t="s">
        <v>28</v>
      </c>
      <c r="V23" s="39"/>
    </row>
    <row r="24" spans="1:22" ht="30" customHeight="1" x14ac:dyDescent="0.3">
      <c r="A24" s="42">
        <v>53791</v>
      </c>
      <c r="B24" s="46" t="s">
        <v>22</v>
      </c>
      <c r="C24" s="99"/>
      <c r="D24" s="47">
        <v>2</v>
      </c>
      <c r="E24" s="39">
        <v>26640</v>
      </c>
      <c r="F24" s="39">
        <v>0</v>
      </c>
      <c r="G24" s="40"/>
      <c r="H24" s="39">
        <v>0</v>
      </c>
      <c r="I24" s="39">
        <f>H24*18%</f>
        <v>0</v>
      </c>
      <c r="J24" s="39">
        <f>H24+I24</f>
        <v>0</v>
      </c>
      <c r="K24" s="39">
        <f>H24*$K$6</f>
        <v>0</v>
      </c>
      <c r="L24" s="39"/>
      <c r="M24" s="39"/>
      <c r="N24" s="39"/>
      <c r="O24" s="39"/>
      <c r="P24" s="39"/>
      <c r="Q24" s="75"/>
      <c r="R24" s="48">
        <f>E24</f>
        <v>26640</v>
      </c>
      <c r="S24" s="38"/>
      <c r="T24" s="39">
        <v>197183</v>
      </c>
      <c r="U24" s="41" t="s">
        <v>29</v>
      </c>
      <c r="V24" s="39"/>
    </row>
    <row r="25" spans="1:22" ht="30" customHeight="1" x14ac:dyDescent="0.3">
      <c r="A25" s="42">
        <v>53791</v>
      </c>
      <c r="B25" s="46" t="s">
        <v>22</v>
      </c>
      <c r="C25" s="99"/>
      <c r="D25" s="47">
        <v>7</v>
      </c>
      <c r="E25" s="39">
        <f>P23</f>
        <v>39880</v>
      </c>
      <c r="F25" s="39">
        <v>0</v>
      </c>
      <c r="G25" s="40"/>
      <c r="H25" s="39">
        <v>0</v>
      </c>
      <c r="I25" s="39">
        <f>H25*18%</f>
        <v>0</v>
      </c>
      <c r="J25" s="39">
        <f>H25+I25</f>
        <v>0</v>
      </c>
      <c r="K25" s="39">
        <f>H25*$K$6</f>
        <v>0</v>
      </c>
      <c r="L25" s="39"/>
      <c r="M25" s="39"/>
      <c r="N25" s="39"/>
      <c r="O25" s="39"/>
      <c r="P25" s="39"/>
      <c r="Q25" s="75"/>
      <c r="R25" s="48">
        <f>E25</f>
        <v>39880</v>
      </c>
      <c r="S25" s="38"/>
      <c r="T25" s="39">
        <v>39879</v>
      </c>
      <c r="U25" s="41" t="s">
        <v>45</v>
      </c>
      <c r="V25" s="39"/>
    </row>
    <row r="26" spans="1:22" ht="30" customHeight="1" x14ac:dyDescent="0.3">
      <c r="A26" s="42">
        <v>53791</v>
      </c>
      <c r="B26" s="46"/>
      <c r="C26" s="99"/>
      <c r="D26" s="47"/>
      <c r="E26" s="39"/>
      <c r="F26" s="39"/>
      <c r="G26" s="40"/>
      <c r="H26" s="39"/>
      <c r="I26" s="39"/>
      <c r="J26" s="39"/>
      <c r="K26" s="39"/>
      <c r="L26" s="39"/>
      <c r="M26" s="39"/>
      <c r="N26" s="39"/>
      <c r="O26" s="39"/>
      <c r="P26" s="39"/>
      <c r="Q26" s="75"/>
      <c r="R26" s="39"/>
      <c r="S26" s="38"/>
      <c r="T26" s="39"/>
      <c r="U26" s="41"/>
      <c r="V26" s="39"/>
    </row>
    <row r="27" spans="1:22" ht="30" customHeight="1" x14ac:dyDescent="0.3">
      <c r="A27" s="42">
        <v>54664</v>
      </c>
      <c r="B27" s="43"/>
      <c r="C27" s="100"/>
      <c r="D27" s="43"/>
      <c r="E27" s="43"/>
      <c r="F27" s="43"/>
      <c r="G27" s="40"/>
      <c r="H27" s="43"/>
      <c r="I27" s="43"/>
      <c r="J27" s="43"/>
      <c r="K27" s="43"/>
      <c r="L27" s="43"/>
      <c r="M27" s="43"/>
      <c r="N27" s="43"/>
      <c r="O27" s="43"/>
      <c r="P27" s="43"/>
      <c r="Q27" s="76"/>
      <c r="R27" s="43"/>
      <c r="S27" s="45">
        <v>54664</v>
      </c>
      <c r="T27" s="43"/>
      <c r="U27" s="50"/>
      <c r="V27" s="43"/>
    </row>
    <row r="28" spans="1:22" ht="30" customHeight="1" x14ac:dyDescent="0.3">
      <c r="A28" s="42">
        <v>54664</v>
      </c>
      <c r="B28" s="39" t="s">
        <v>187</v>
      </c>
      <c r="C28" s="99">
        <v>44950</v>
      </c>
      <c r="D28" s="47">
        <v>3</v>
      </c>
      <c r="E28" s="39">
        <f>370000*40%</f>
        <v>148000</v>
      </c>
      <c r="F28" s="39"/>
      <c r="G28" s="40"/>
      <c r="H28" s="39">
        <f>E28-F28</f>
        <v>148000</v>
      </c>
      <c r="I28" s="39">
        <f>ROUND(H28*18%,0)</f>
        <v>26640</v>
      </c>
      <c r="J28" s="39">
        <f>H28+I28</f>
        <v>174640</v>
      </c>
      <c r="K28" s="39">
        <f>ROUND(H28*$K$6,0)</f>
        <v>1480</v>
      </c>
      <c r="L28" s="39">
        <f>ROUND(H28*$L$6,0)</f>
        <v>7400</v>
      </c>
      <c r="M28" s="39"/>
      <c r="N28" s="39"/>
      <c r="O28" s="39">
        <v>0</v>
      </c>
      <c r="P28" s="48">
        <f>I28</f>
        <v>26640</v>
      </c>
      <c r="Q28" s="75"/>
      <c r="R28" s="39">
        <f>ROUND(J28-SUM(K28:P28),)</f>
        <v>139120</v>
      </c>
      <c r="S28" s="38"/>
      <c r="T28" s="39">
        <v>139120</v>
      </c>
      <c r="U28" s="41" t="s">
        <v>30</v>
      </c>
      <c r="V28" s="39">
        <f>SUM(R28:R32)-SUM(T28:T32)</f>
        <v>0</v>
      </c>
    </row>
    <row r="29" spans="1:22" ht="30" customHeight="1" x14ac:dyDescent="0.3">
      <c r="A29" s="42">
        <v>54664</v>
      </c>
      <c r="B29" s="46" t="s">
        <v>22</v>
      </c>
      <c r="C29" s="99"/>
      <c r="D29" s="47">
        <v>3</v>
      </c>
      <c r="E29" s="39">
        <v>26640</v>
      </c>
      <c r="F29" s="39"/>
      <c r="G29" s="40"/>
      <c r="H29" s="39"/>
      <c r="I29" s="39"/>
      <c r="J29" s="39"/>
      <c r="K29" s="39"/>
      <c r="L29" s="39"/>
      <c r="M29" s="39"/>
      <c r="N29" s="39"/>
      <c r="O29" s="39"/>
      <c r="P29" s="39"/>
      <c r="Q29" s="75"/>
      <c r="R29" s="48">
        <f>E29</f>
        <v>26640</v>
      </c>
      <c r="S29" s="38"/>
      <c r="T29" s="39">
        <v>26640</v>
      </c>
      <c r="U29" s="41" t="s">
        <v>31</v>
      </c>
      <c r="V29" s="39"/>
    </row>
    <row r="30" spans="1:22" ht="30" customHeight="1" x14ac:dyDescent="0.3">
      <c r="A30" s="42">
        <v>54664</v>
      </c>
      <c r="B30" s="39" t="s">
        <v>187</v>
      </c>
      <c r="C30" s="99">
        <v>45080</v>
      </c>
      <c r="D30" s="47">
        <v>9</v>
      </c>
      <c r="E30" s="39">
        <v>233000</v>
      </c>
      <c r="F30" s="39">
        <v>11445</v>
      </c>
      <c r="G30" s="40"/>
      <c r="H30" s="39">
        <f>E30-F30</f>
        <v>221555</v>
      </c>
      <c r="I30" s="39">
        <f>H30*18%</f>
        <v>39879.9</v>
      </c>
      <c r="J30" s="39">
        <f>H30+I30</f>
        <v>261434.9</v>
      </c>
      <c r="K30" s="39">
        <f>I30*1%</f>
        <v>398.79900000000004</v>
      </c>
      <c r="L30" s="39">
        <f>I30*5%</f>
        <v>1993.9950000000001</v>
      </c>
      <c r="M30" s="39"/>
      <c r="N30" s="39">
        <f>J30*5%</f>
        <v>13071.745000000001</v>
      </c>
      <c r="O30" s="39">
        <f>I30*5%</f>
        <v>1993.9950000000001</v>
      </c>
      <c r="P30" s="48">
        <f>H30*18%</f>
        <v>39879.9</v>
      </c>
      <c r="Q30" s="75"/>
      <c r="R30" s="39">
        <v>197183</v>
      </c>
      <c r="S30" s="38"/>
      <c r="T30" s="39">
        <v>197183</v>
      </c>
      <c r="U30" s="41" t="s">
        <v>43</v>
      </c>
      <c r="V30" s="39"/>
    </row>
    <row r="31" spans="1:22" ht="30" customHeight="1" x14ac:dyDescent="0.3">
      <c r="A31" s="42">
        <v>54664</v>
      </c>
      <c r="B31" s="46" t="s">
        <v>22</v>
      </c>
      <c r="C31" s="99"/>
      <c r="D31" s="47">
        <v>9</v>
      </c>
      <c r="E31" s="39">
        <v>39879</v>
      </c>
      <c r="F31" s="39"/>
      <c r="G31" s="40"/>
      <c r="H31" s="39"/>
      <c r="I31" s="39"/>
      <c r="J31" s="39"/>
      <c r="K31" s="39"/>
      <c r="L31" s="39"/>
      <c r="M31" s="39"/>
      <c r="N31" s="39"/>
      <c r="O31" s="39"/>
      <c r="P31" s="39"/>
      <c r="Q31" s="75"/>
      <c r="R31" s="48">
        <v>39879</v>
      </c>
      <c r="S31" s="38"/>
      <c r="T31" s="39">
        <v>39879</v>
      </c>
      <c r="U31" s="41" t="s">
        <v>46</v>
      </c>
      <c r="V31" s="39"/>
    </row>
    <row r="32" spans="1:22" ht="30" customHeight="1" x14ac:dyDescent="0.3">
      <c r="A32" s="42">
        <v>54664</v>
      </c>
      <c r="B32" s="46"/>
      <c r="C32" s="99"/>
      <c r="D32" s="47"/>
      <c r="E32" s="39"/>
      <c r="F32" s="39"/>
      <c r="G32" s="40"/>
      <c r="H32" s="39"/>
      <c r="I32" s="39"/>
      <c r="J32" s="39"/>
      <c r="K32" s="39"/>
      <c r="L32" s="39"/>
      <c r="M32" s="39"/>
      <c r="N32" s="39"/>
      <c r="O32" s="39"/>
      <c r="P32" s="39"/>
      <c r="Q32" s="75"/>
      <c r="R32" s="39"/>
      <c r="S32" s="38"/>
      <c r="T32" s="39"/>
      <c r="U32" s="41"/>
      <c r="V32" s="39"/>
    </row>
    <row r="33" spans="1:22" ht="30" customHeight="1" x14ac:dyDescent="0.3">
      <c r="A33" s="42">
        <v>57587</v>
      </c>
      <c r="B33" s="43"/>
      <c r="C33" s="100"/>
      <c r="D33" s="43"/>
      <c r="E33" s="43"/>
      <c r="F33" s="43"/>
      <c r="G33" s="40"/>
      <c r="H33" s="43"/>
      <c r="I33" s="43"/>
      <c r="J33" s="43"/>
      <c r="K33" s="43"/>
      <c r="L33" s="43"/>
      <c r="M33" s="43"/>
      <c r="N33" s="43"/>
      <c r="O33" s="43"/>
      <c r="P33" s="43"/>
      <c r="Q33" s="76"/>
      <c r="R33" s="43"/>
      <c r="S33" s="45">
        <v>57587</v>
      </c>
      <c r="T33" s="43"/>
      <c r="U33" s="50"/>
      <c r="V33" s="43"/>
    </row>
    <row r="34" spans="1:22" ht="30" customHeight="1" x14ac:dyDescent="0.3">
      <c r="A34" s="42">
        <v>57587</v>
      </c>
      <c r="B34" s="46" t="s">
        <v>188</v>
      </c>
      <c r="C34" s="99">
        <v>45089</v>
      </c>
      <c r="D34" s="47">
        <v>10</v>
      </c>
      <c r="E34" s="39">
        <v>389660</v>
      </c>
      <c r="F34" s="39">
        <v>0</v>
      </c>
      <c r="G34" s="40"/>
      <c r="H34" s="39">
        <f>E34-F34</f>
        <v>389660</v>
      </c>
      <c r="I34" s="39">
        <f>ROUND(H34*18%,0)</f>
        <v>70139</v>
      </c>
      <c r="J34" s="39">
        <f>H34+I34</f>
        <v>459799</v>
      </c>
      <c r="K34" s="39">
        <f>ROUND(H34*$K$6,0)</f>
        <v>3897</v>
      </c>
      <c r="L34" s="39">
        <f>ROUND(H34*$L$6,0)</f>
        <v>19483</v>
      </c>
      <c r="M34" s="39"/>
      <c r="N34" s="39">
        <v>0</v>
      </c>
      <c r="O34" s="39"/>
      <c r="P34" s="48">
        <f>I34</f>
        <v>70139</v>
      </c>
      <c r="Q34" s="75"/>
      <c r="R34" s="39">
        <f>ROUND(J34-SUM(K34:P34),)</f>
        <v>366280</v>
      </c>
      <c r="S34" s="38"/>
      <c r="T34" s="39">
        <v>148500</v>
      </c>
      <c r="U34" s="41" t="s">
        <v>32</v>
      </c>
      <c r="V34" s="39">
        <f>SUM(R34:R38)-SUM(T34:T38)</f>
        <v>142547</v>
      </c>
    </row>
    <row r="35" spans="1:22" ht="30" customHeight="1" x14ac:dyDescent="0.3">
      <c r="A35" s="42">
        <v>57587</v>
      </c>
      <c r="B35" s="46" t="s">
        <v>188</v>
      </c>
      <c r="C35" s="99">
        <v>45129</v>
      </c>
      <c r="D35" s="47">
        <v>11</v>
      </c>
      <c r="E35" s="39">
        <v>402258.75</v>
      </c>
      <c r="F35" s="39"/>
      <c r="G35" s="40"/>
      <c r="H35" s="39">
        <f>E35-F35</f>
        <v>402258.75</v>
      </c>
      <c r="I35" s="39">
        <f>ROUND(H35*18%,0)</f>
        <v>72407</v>
      </c>
      <c r="J35" s="39">
        <f>H35+I35</f>
        <v>474665.75</v>
      </c>
      <c r="K35" s="39">
        <f>ROUND(H35*$K$6,0)</f>
        <v>4023</v>
      </c>
      <c r="L35" s="39">
        <f>ROUND(H35*$L$6,0)</f>
        <v>20113</v>
      </c>
      <c r="M35" s="39">
        <v>0</v>
      </c>
      <c r="N35" s="39">
        <v>0</v>
      </c>
      <c r="O35" s="39"/>
      <c r="P35" s="48">
        <f>I35</f>
        <v>72407</v>
      </c>
      <c r="Q35" s="75"/>
      <c r="R35" s="39">
        <f>ROUND(J35-SUM(K35:P35),)</f>
        <v>378123</v>
      </c>
      <c r="S35" s="38"/>
      <c r="T35" s="39">
        <v>217780</v>
      </c>
      <c r="U35" s="41" t="s">
        <v>38</v>
      </c>
      <c r="V35" s="39"/>
    </row>
    <row r="36" spans="1:22" ht="30" customHeight="1" x14ac:dyDescent="0.3">
      <c r="A36" s="42">
        <v>57587</v>
      </c>
      <c r="B36" s="39" t="s">
        <v>149</v>
      </c>
      <c r="C36" s="101"/>
      <c r="D36" s="47">
        <v>11</v>
      </c>
      <c r="E36" s="39">
        <f>I35</f>
        <v>72407</v>
      </c>
      <c r="F36" s="39"/>
      <c r="G36" s="40"/>
      <c r="H36" s="39"/>
      <c r="I36" s="39"/>
      <c r="J36" s="39"/>
      <c r="K36" s="39"/>
      <c r="L36" s="39"/>
      <c r="M36" s="39"/>
      <c r="N36" s="39"/>
      <c r="O36" s="39"/>
      <c r="P36" s="39"/>
      <c r="Q36" s="75"/>
      <c r="R36" s="48">
        <f>E36</f>
        <v>72407</v>
      </c>
      <c r="S36" s="38"/>
      <c r="T36" s="39">
        <v>75000</v>
      </c>
      <c r="U36" s="41" t="s">
        <v>39</v>
      </c>
      <c r="V36" s="39"/>
    </row>
    <row r="37" spans="1:22" ht="30" customHeight="1" x14ac:dyDescent="0.3">
      <c r="A37" s="42">
        <v>57587</v>
      </c>
      <c r="B37" s="39" t="s">
        <v>149</v>
      </c>
      <c r="C37" s="101"/>
      <c r="D37" s="39">
        <v>10</v>
      </c>
      <c r="E37" s="39">
        <f>P34</f>
        <v>70139</v>
      </c>
      <c r="F37" s="39"/>
      <c r="G37" s="40"/>
      <c r="H37" s="39"/>
      <c r="I37" s="39"/>
      <c r="J37" s="39"/>
      <c r="K37" s="39"/>
      <c r="L37" s="39"/>
      <c r="M37" s="39"/>
      <c r="N37" s="39"/>
      <c r="O37" s="39"/>
      <c r="P37" s="39"/>
      <c r="Q37" s="75"/>
      <c r="R37" s="48">
        <f>E37</f>
        <v>70139</v>
      </c>
      <c r="S37" s="38"/>
      <c r="T37" s="39">
        <v>303122</v>
      </c>
      <c r="U37" s="41" t="s">
        <v>40</v>
      </c>
      <c r="V37" s="39"/>
    </row>
    <row r="38" spans="1:22" ht="30" customHeight="1" x14ac:dyDescent="0.3">
      <c r="A38" s="42">
        <v>57587</v>
      </c>
      <c r="B38" s="39"/>
      <c r="C38" s="101"/>
      <c r="D38" s="39"/>
      <c r="E38" s="39"/>
      <c r="F38" s="39"/>
      <c r="G38" s="40"/>
      <c r="H38" s="39"/>
      <c r="I38" s="39"/>
      <c r="J38" s="39"/>
      <c r="K38" s="39"/>
      <c r="L38" s="39"/>
      <c r="M38" s="39"/>
      <c r="N38" s="39"/>
      <c r="O38" s="39"/>
      <c r="P38" s="39"/>
      <c r="Q38" s="75"/>
      <c r="R38" s="39"/>
      <c r="S38" s="38"/>
      <c r="T38" s="39"/>
      <c r="U38" s="41"/>
      <c r="V38" s="39"/>
    </row>
    <row r="39" spans="1:22" ht="30" customHeight="1" x14ac:dyDescent="0.3">
      <c r="A39" s="42">
        <v>57701</v>
      </c>
      <c r="B39" s="43"/>
      <c r="C39" s="100"/>
      <c r="D39" s="43"/>
      <c r="E39" s="43"/>
      <c r="F39" s="43"/>
      <c r="G39" s="40"/>
      <c r="H39" s="43"/>
      <c r="I39" s="43"/>
      <c r="J39" s="43"/>
      <c r="K39" s="43"/>
      <c r="L39" s="43"/>
      <c r="M39" s="43"/>
      <c r="N39" s="43"/>
      <c r="O39" s="43"/>
      <c r="P39" s="43"/>
      <c r="Q39" s="76"/>
      <c r="R39" s="43"/>
      <c r="S39" s="45">
        <v>57701</v>
      </c>
      <c r="T39" s="43"/>
      <c r="U39" s="50"/>
      <c r="V39" s="43"/>
    </row>
    <row r="40" spans="1:22" ht="30" customHeight="1" x14ac:dyDescent="0.3">
      <c r="A40" s="42">
        <v>57701</v>
      </c>
      <c r="B40" s="46" t="s">
        <v>189</v>
      </c>
      <c r="C40" s="99">
        <v>45293</v>
      </c>
      <c r="D40" s="47">
        <v>21</v>
      </c>
      <c r="E40" s="39">
        <v>181912</v>
      </c>
      <c r="F40" s="39">
        <v>180364</v>
      </c>
      <c r="G40" s="40"/>
      <c r="H40" s="39">
        <f>E40-F40</f>
        <v>1548</v>
      </c>
      <c r="I40" s="39">
        <f>ROUND(H40*18%,0)</f>
        <v>279</v>
      </c>
      <c r="J40" s="39">
        <f>H40+I40</f>
        <v>1827</v>
      </c>
      <c r="K40" s="39">
        <f>ROUND(H40*$K$6,0)</f>
        <v>15</v>
      </c>
      <c r="L40" s="39">
        <f>ROUND(H40*$L$6,0)</f>
        <v>77</v>
      </c>
      <c r="M40" s="39"/>
      <c r="N40" s="39">
        <f>H40*10%</f>
        <v>154.80000000000001</v>
      </c>
      <c r="O40" s="39"/>
      <c r="P40" s="81">
        <f>I40</f>
        <v>279</v>
      </c>
      <c r="Q40" s="75"/>
      <c r="R40" s="39">
        <f>ROUND(J40-SUM(K40:P40),)</f>
        <v>1301</v>
      </c>
      <c r="S40" s="38"/>
      <c r="T40" s="39"/>
      <c r="U40" s="41"/>
      <c r="V40" s="39">
        <f>SUM(R40:R42)-SUM(T40:T42)</f>
        <v>1301</v>
      </c>
    </row>
    <row r="41" spans="1:22" ht="30" customHeight="1" x14ac:dyDescent="0.3">
      <c r="A41" s="42">
        <v>57701</v>
      </c>
      <c r="B41" s="46"/>
      <c r="C41" s="99"/>
      <c r="D41" s="47"/>
      <c r="E41" s="39"/>
      <c r="F41" s="39"/>
      <c r="G41" s="40"/>
      <c r="H41" s="39"/>
      <c r="I41" s="39"/>
      <c r="J41" s="39"/>
      <c r="K41" s="39"/>
      <c r="L41" s="39"/>
      <c r="M41" s="39"/>
      <c r="N41" s="39"/>
      <c r="O41" s="39"/>
      <c r="P41" s="81"/>
      <c r="Q41" s="75"/>
      <c r="R41" s="39"/>
      <c r="S41" s="38"/>
      <c r="T41" s="39"/>
      <c r="U41" s="41"/>
      <c r="V41" s="39"/>
    </row>
    <row r="42" spans="1:22" ht="30" customHeight="1" x14ac:dyDescent="0.3">
      <c r="A42" s="42">
        <v>57701</v>
      </c>
      <c r="B42" s="39"/>
      <c r="C42" s="101"/>
      <c r="D42" s="39"/>
      <c r="E42" s="39"/>
      <c r="F42" s="39"/>
      <c r="G42" s="40"/>
      <c r="H42" s="39"/>
      <c r="I42" s="39"/>
      <c r="J42" s="39"/>
      <c r="K42" s="39"/>
      <c r="L42" s="39"/>
      <c r="M42" s="39"/>
      <c r="N42" s="39"/>
      <c r="O42" s="39"/>
      <c r="P42" s="39"/>
      <c r="Q42" s="75"/>
      <c r="R42" s="39"/>
      <c r="S42" s="38"/>
      <c r="T42" s="39"/>
      <c r="U42" s="41"/>
      <c r="V42" s="39"/>
    </row>
    <row r="43" spans="1:22" ht="30" customHeight="1" x14ac:dyDescent="0.3">
      <c r="A43" s="42">
        <v>57915</v>
      </c>
      <c r="B43" s="43"/>
      <c r="C43" s="100"/>
      <c r="D43" s="43"/>
      <c r="E43" s="43"/>
      <c r="F43" s="43"/>
      <c r="G43" s="40"/>
      <c r="H43" s="43"/>
      <c r="I43" s="43"/>
      <c r="J43" s="43"/>
      <c r="K43" s="43"/>
      <c r="L43" s="43"/>
      <c r="M43" s="43"/>
      <c r="N43" s="43"/>
      <c r="O43" s="43"/>
      <c r="P43" s="43"/>
      <c r="Q43" s="76"/>
      <c r="R43" s="43"/>
      <c r="S43" s="45">
        <v>57915</v>
      </c>
      <c r="T43" s="43"/>
      <c r="U43" s="50"/>
      <c r="V43" s="43"/>
    </row>
    <row r="44" spans="1:22" ht="30" customHeight="1" x14ac:dyDescent="0.3">
      <c r="A44" s="42">
        <v>57915</v>
      </c>
      <c r="B44" s="80" t="s">
        <v>190</v>
      </c>
      <c r="C44" s="101">
        <v>45190</v>
      </c>
      <c r="D44" s="52">
        <v>23</v>
      </c>
      <c r="E44" s="39">
        <v>123750</v>
      </c>
      <c r="F44" s="39">
        <v>0</v>
      </c>
      <c r="G44" s="40"/>
      <c r="H44" s="39">
        <f>E44-F44</f>
        <v>123750</v>
      </c>
      <c r="I44" s="39">
        <f>H44*18%</f>
        <v>22275</v>
      </c>
      <c r="J44" s="39">
        <f>H44+I44</f>
        <v>146025</v>
      </c>
      <c r="K44" s="39">
        <f>H44*1%</f>
        <v>1237.5</v>
      </c>
      <c r="L44" s="39">
        <f>H44*5%</f>
        <v>6187.5</v>
      </c>
      <c r="M44" s="39">
        <v>0</v>
      </c>
      <c r="N44" s="39">
        <v>0</v>
      </c>
      <c r="O44" s="41"/>
      <c r="P44" s="39">
        <f>I44</f>
        <v>22275</v>
      </c>
      <c r="Q44" s="77"/>
      <c r="R44" s="39">
        <f>J44-SUM(K44:P44)</f>
        <v>116325</v>
      </c>
      <c r="S44" s="38"/>
      <c r="T44" s="39">
        <v>198000</v>
      </c>
      <c r="U44" s="41" t="s">
        <v>127</v>
      </c>
      <c r="V44" s="39">
        <f>SUM(R44:R45)-SUM(T44:T45)</f>
        <v>-81675</v>
      </c>
    </row>
    <row r="45" spans="1:22" ht="30" customHeight="1" x14ac:dyDescent="0.3">
      <c r="A45" s="42">
        <v>57915</v>
      </c>
      <c r="B45" s="39"/>
      <c r="C45" s="101"/>
      <c r="D45" s="52"/>
      <c r="E45" s="39"/>
      <c r="F45" s="39"/>
      <c r="G45" s="40"/>
      <c r="H45" s="39"/>
      <c r="I45" s="39"/>
      <c r="J45" s="39"/>
      <c r="K45" s="39"/>
      <c r="L45" s="39"/>
      <c r="M45" s="39"/>
      <c r="N45" s="39"/>
      <c r="O45" s="39"/>
      <c r="P45" s="39"/>
      <c r="Q45" s="75"/>
      <c r="R45" s="39"/>
      <c r="S45" s="38"/>
      <c r="T45" s="39"/>
      <c r="U45" s="41"/>
      <c r="V45" s="39"/>
    </row>
    <row r="46" spans="1:22" ht="30" customHeight="1" x14ac:dyDescent="0.3">
      <c r="A46" s="42">
        <v>57916</v>
      </c>
      <c r="B46" s="43"/>
      <c r="C46" s="100"/>
      <c r="D46" s="43"/>
      <c r="E46" s="43"/>
      <c r="F46" s="43"/>
      <c r="G46" s="40"/>
      <c r="H46" s="43"/>
      <c r="I46" s="43"/>
      <c r="J46" s="43"/>
      <c r="K46" s="43"/>
      <c r="L46" s="43"/>
      <c r="M46" s="43"/>
      <c r="N46" s="43"/>
      <c r="O46" s="43"/>
      <c r="P46" s="43"/>
      <c r="Q46" s="76"/>
      <c r="R46" s="43"/>
      <c r="S46" s="45">
        <v>57916</v>
      </c>
      <c r="T46" s="43"/>
      <c r="U46" s="50"/>
      <c r="V46" s="43"/>
    </row>
    <row r="47" spans="1:22" ht="30" customHeight="1" x14ac:dyDescent="0.3">
      <c r="A47" s="42">
        <v>57916</v>
      </c>
      <c r="B47" s="80" t="s">
        <v>124</v>
      </c>
      <c r="C47" s="101"/>
      <c r="D47" s="52"/>
      <c r="E47" s="39"/>
      <c r="F47" s="39"/>
      <c r="G47" s="40">
        <v>4950</v>
      </c>
      <c r="H47" s="39"/>
      <c r="I47" s="39"/>
      <c r="J47" s="39"/>
      <c r="K47" s="39"/>
      <c r="L47" s="39"/>
      <c r="M47" s="39"/>
      <c r="N47" s="39"/>
      <c r="O47" s="39"/>
      <c r="P47" s="39"/>
      <c r="Q47" s="75"/>
      <c r="R47" s="39"/>
      <c r="S47" s="38"/>
      <c r="T47" s="39">
        <v>198000</v>
      </c>
      <c r="U47" s="41" t="s">
        <v>125</v>
      </c>
      <c r="V47" s="39">
        <f>SUM(R46:R48)-SUM(T46:T48)</f>
        <v>-198000</v>
      </c>
    </row>
    <row r="48" spans="1:22" ht="30" customHeight="1" x14ac:dyDescent="0.3">
      <c r="A48" s="42">
        <v>57916</v>
      </c>
      <c r="B48" s="39"/>
      <c r="C48" s="101"/>
      <c r="D48" s="52"/>
      <c r="E48" s="39"/>
      <c r="F48" s="39"/>
      <c r="G48" s="40"/>
      <c r="H48" s="39"/>
      <c r="I48" s="39"/>
      <c r="J48" s="39"/>
      <c r="K48" s="39"/>
      <c r="L48" s="39"/>
      <c r="M48" s="39"/>
      <c r="N48" s="39"/>
      <c r="O48" s="39"/>
      <c r="P48" s="39"/>
      <c r="Q48" s="75"/>
      <c r="R48" s="39"/>
      <c r="S48" s="38"/>
      <c r="T48" s="39"/>
      <c r="U48" s="41"/>
      <c r="V48" s="39"/>
    </row>
    <row r="49" spans="1:22" ht="30" customHeight="1" x14ac:dyDescent="0.3">
      <c r="A49" s="42">
        <v>58199</v>
      </c>
      <c r="B49" s="43"/>
      <c r="C49" s="100"/>
      <c r="D49" s="43"/>
      <c r="E49" s="43"/>
      <c r="F49" s="43"/>
      <c r="G49" s="40"/>
      <c r="H49" s="43"/>
      <c r="I49" s="43"/>
      <c r="J49" s="43"/>
      <c r="K49" s="43"/>
      <c r="L49" s="43"/>
      <c r="M49" s="43"/>
      <c r="N49" s="43"/>
      <c r="O49" s="43"/>
      <c r="P49" s="43"/>
      <c r="Q49" s="76"/>
      <c r="R49" s="43"/>
      <c r="S49" s="45">
        <v>58199</v>
      </c>
      <c r="T49" s="43"/>
      <c r="U49" s="50"/>
      <c r="V49" s="43"/>
    </row>
    <row r="50" spans="1:22" ht="30" customHeight="1" x14ac:dyDescent="0.3">
      <c r="A50" s="42">
        <v>58199</v>
      </c>
      <c r="B50" s="80" t="s">
        <v>191</v>
      </c>
      <c r="C50" s="101">
        <v>45293</v>
      </c>
      <c r="D50" s="52">
        <v>19</v>
      </c>
      <c r="E50" s="39">
        <v>193187.5</v>
      </c>
      <c r="F50" s="39">
        <v>89254.47</v>
      </c>
      <c r="G50" s="40">
        <f>208578.79+61040.05-F50</f>
        <v>180364.37000000002</v>
      </c>
      <c r="H50" s="39">
        <f>E50-F50</f>
        <v>103933.03</v>
      </c>
      <c r="I50" s="39">
        <f>H50*18%</f>
        <v>18707.945400000001</v>
      </c>
      <c r="J50" s="39">
        <f>H50+I50</f>
        <v>122640.9754</v>
      </c>
      <c r="K50" s="39">
        <f>H50*1%</f>
        <v>1039.3303000000001</v>
      </c>
      <c r="L50" s="39">
        <f>H50*5%</f>
        <v>5196.6514999999999</v>
      </c>
      <c r="M50" s="39">
        <f>H50*10%</f>
        <v>10393.303</v>
      </c>
      <c r="N50" s="39"/>
      <c r="O50" s="39"/>
      <c r="P50" s="39">
        <f>I50</f>
        <v>18707.945400000001</v>
      </c>
      <c r="Q50" s="75"/>
      <c r="R50" s="39">
        <f>J50-SUM(K50:P50)</f>
        <v>87303.74519999999</v>
      </c>
      <c r="S50" s="38"/>
      <c r="T50" s="39">
        <v>148500</v>
      </c>
      <c r="U50" s="41" t="s">
        <v>121</v>
      </c>
      <c r="V50" s="39">
        <f>SUM(R50:R52)-SUM(T50:T52)</f>
        <v>-61196.25480000001</v>
      </c>
    </row>
    <row r="51" spans="1:22" ht="30" customHeight="1" x14ac:dyDescent="0.3">
      <c r="A51" s="42">
        <v>58199</v>
      </c>
      <c r="B51" s="54" t="s">
        <v>122</v>
      </c>
      <c r="C51" s="101"/>
      <c r="D51" s="52"/>
      <c r="E51" s="39"/>
      <c r="F51" s="39"/>
      <c r="G51" s="40"/>
      <c r="H51" s="39"/>
      <c r="I51" s="39"/>
      <c r="J51" s="39"/>
      <c r="K51" s="39"/>
      <c r="L51" s="39"/>
      <c r="M51" s="39"/>
      <c r="N51" s="39"/>
      <c r="O51" s="39"/>
      <c r="P51" s="39"/>
      <c r="Q51" s="75"/>
      <c r="R51" s="39"/>
      <c r="S51" s="38"/>
      <c r="T51" s="39"/>
      <c r="U51" s="41"/>
      <c r="V51" s="39"/>
    </row>
    <row r="52" spans="1:22" ht="30" customHeight="1" x14ac:dyDescent="0.3">
      <c r="A52" s="42">
        <v>58199</v>
      </c>
      <c r="B52" s="54"/>
      <c r="C52" s="101"/>
      <c r="D52" s="52"/>
      <c r="E52" s="39"/>
      <c r="F52" s="39"/>
      <c r="G52" s="40"/>
      <c r="H52" s="39"/>
      <c r="I52" s="39"/>
      <c r="J52" s="39"/>
      <c r="K52" s="39"/>
      <c r="L52" s="39"/>
      <c r="M52" s="39"/>
      <c r="N52" s="39"/>
      <c r="O52" s="39"/>
      <c r="P52" s="39"/>
      <c r="Q52" s="75"/>
      <c r="R52" s="39"/>
      <c r="S52" s="38"/>
      <c r="T52" s="39"/>
      <c r="U52" s="41"/>
      <c r="V52" s="39"/>
    </row>
    <row r="53" spans="1:22" ht="30" customHeight="1" x14ac:dyDescent="0.3">
      <c r="A53" s="42">
        <v>58240</v>
      </c>
      <c r="B53" s="43"/>
      <c r="C53" s="100"/>
      <c r="D53" s="43"/>
      <c r="E53" s="43"/>
      <c r="F53" s="43"/>
      <c r="G53" s="40"/>
      <c r="H53" s="43"/>
      <c r="I53" s="43"/>
      <c r="J53" s="43"/>
      <c r="K53" s="43"/>
      <c r="L53" s="43"/>
      <c r="M53" s="43"/>
      <c r="N53" s="43"/>
      <c r="O53" s="43"/>
      <c r="P53" s="43"/>
      <c r="Q53" s="76"/>
      <c r="R53" s="43"/>
      <c r="S53" s="45">
        <v>58240</v>
      </c>
      <c r="T53" s="43"/>
      <c r="U53" s="50"/>
      <c r="V53" s="43"/>
    </row>
    <row r="54" spans="1:22" ht="30" customHeight="1" x14ac:dyDescent="0.3">
      <c r="A54" s="42">
        <v>58240</v>
      </c>
      <c r="B54" s="39" t="s">
        <v>192</v>
      </c>
      <c r="C54" s="101">
        <v>45164</v>
      </c>
      <c r="D54" s="52">
        <v>13</v>
      </c>
      <c r="E54" s="39">
        <v>342251</v>
      </c>
      <c r="F54" s="39"/>
      <c r="G54" s="40"/>
      <c r="H54" s="39">
        <v>342251</v>
      </c>
      <c r="I54" s="39">
        <v>61605.18</v>
      </c>
      <c r="J54" s="39">
        <v>403856.18</v>
      </c>
      <c r="K54" s="39">
        <f>H54*1%</f>
        <v>3422.51</v>
      </c>
      <c r="L54" s="39">
        <f>H54*5%</f>
        <v>17112.55</v>
      </c>
      <c r="M54" s="39"/>
      <c r="N54" s="39"/>
      <c r="O54" s="39"/>
      <c r="P54" s="48">
        <f>I54</f>
        <v>61605.18</v>
      </c>
      <c r="Q54" s="75"/>
      <c r="R54" s="39">
        <f>J54-SUM(K54:P54)</f>
        <v>321715.94</v>
      </c>
      <c r="S54" s="38"/>
      <c r="T54" s="39">
        <v>99000</v>
      </c>
      <c r="U54" s="41" t="s">
        <v>33</v>
      </c>
      <c r="V54" s="39">
        <f>SUM(R54:R59)-SUM(T54:T59)</f>
        <v>12169.040000000037</v>
      </c>
    </row>
    <row r="55" spans="1:22" ht="30" customHeight="1" x14ac:dyDescent="0.3">
      <c r="A55" s="42">
        <v>58240</v>
      </c>
      <c r="B55" s="39" t="s">
        <v>192</v>
      </c>
      <c r="C55" s="101">
        <v>45181</v>
      </c>
      <c r="D55" s="52">
        <v>14</v>
      </c>
      <c r="E55" s="39">
        <v>280916</v>
      </c>
      <c r="F55" s="39"/>
      <c r="G55" s="40"/>
      <c r="H55" s="39">
        <v>280916</v>
      </c>
      <c r="I55" s="39">
        <f>H55*18%</f>
        <v>50564.88</v>
      </c>
      <c r="J55" s="39">
        <f>H55+I55</f>
        <v>331480.88</v>
      </c>
      <c r="K55" s="39">
        <f>H55*1%</f>
        <v>2809.16</v>
      </c>
      <c r="L55" s="39">
        <f>H55*5%</f>
        <v>14045.800000000001</v>
      </c>
      <c r="M55" s="39"/>
      <c r="N55" s="39"/>
      <c r="O55" s="39"/>
      <c r="P55" s="48">
        <f>I55</f>
        <v>50564.88</v>
      </c>
      <c r="Q55" s="75"/>
      <c r="R55" s="39">
        <f>J55-SUM(K55:P55)</f>
        <v>264061.04000000004</v>
      </c>
      <c r="S55" s="38"/>
      <c r="T55" s="39">
        <v>198000</v>
      </c>
      <c r="U55" s="41" t="s">
        <v>49</v>
      </c>
      <c r="V55" s="39"/>
    </row>
    <row r="56" spans="1:22" ht="30" customHeight="1" x14ac:dyDescent="0.3">
      <c r="A56" s="42">
        <v>58240</v>
      </c>
      <c r="B56" s="39" t="s">
        <v>149</v>
      </c>
      <c r="C56" s="101"/>
      <c r="D56" s="52" t="s">
        <v>151</v>
      </c>
      <c r="E56" s="39">
        <f>I54+I55</f>
        <v>112170.06</v>
      </c>
      <c r="F56" s="39"/>
      <c r="G56" s="40"/>
      <c r="H56" s="39"/>
      <c r="I56" s="39"/>
      <c r="J56" s="39"/>
      <c r="K56" s="39"/>
      <c r="L56" s="39"/>
      <c r="M56" s="39"/>
      <c r="N56" s="39"/>
      <c r="O56" s="39"/>
      <c r="P56" s="39"/>
      <c r="Q56" s="75"/>
      <c r="R56" s="48">
        <f>E56</f>
        <v>112170.06</v>
      </c>
      <c r="S56" s="38"/>
      <c r="T56" s="39">
        <v>24717</v>
      </c>
      <c r="U56" s="41" t="s">
        <v>50</v>
      </c>
      <c r="V56" s="39"/>
    </row>
    <row r="57" spans="1:22" ht="30" customHeight="1" x14ac:dyDescent="0.3">
      <c r="A57" s="42">
        <v>58240</v>
      </c>
      <c r="B57" s="39"/>
      <c r="C57" s="101"/>
      <c r="D57" s="52"/>
      <c r="E57" s="39"/>
      <c r="F57" s="39"/>
      <c r="G57" s="40"/>
      <c r="H57" s="39"/>
      <c r="I57" s="39"/>
      <c r="J57" s="39"/>
      <c r="K57" s="39"/>
      <c r="L57" s="39"/>
      <c r="M57" s="39"/>
      <c r="N57" s="39"/>
      <c r="O57" s="39"/>
      <c r="P57" s="39"/>
      <c r="Q57" s="75"/>
      <c r="R57" s="39"/>
      <c r="S57" s="38"/>
      <c r="T57" s="39">
        <v>148500</v>
      </c>
      <c r="U57" s="41" t="s">
        <v>36</v>
      </c>
      <c r="V57" s="39"/>
    </row>
    <row r="58" spans="1:22" ht="30" customHeight="1" x14ac:dyDescent="0.3">
      <c r="A58" s="42">
        <v>58240</v>
      </c>
      <c r="B58" s="39"/>
      <c r="C58" s="101"/>
      <c r="D58" s="52"/>
      <c r="E58" s="39"/>
      <c r="F58" s="39"/>
      <c r="G58" s="40"/>
      <c r="H58" s="39"/>
      <c r="I58" s="39"/>
      <c r="J58" s="39"/>
      <c r="K58" s="39"/>
      <c r="L58" s="39"/>
      <c r="M58" s="39"/>
      <c r="N58" s="39"/>
      <c r="O58" s="39"/>
      <c r="P58" s="39"/>
      <c r="Q58" s="75"/>
      <c r="R58" s="39"/>
      <c r="S58" s="38"/>
      <c r="T58" s="39">
        <v>115561</v>
      </c>
      <c r="U58" s="41" t="s">
        <v>48</v>
      </c>
      <c r="V58" s="39"/>
    </row>
    <row r="59" spans="1:22" ht="30" customHeight="1" x14ac:dyDescent="0.3">
      <c r="A59" s="42">
        <v>58240</v>
      </c>
      <c r="B59" s="39"/>
      <c r="C59" s="101"/>
      <c r="D59" s="52"/>
      <c r="E59" s="39"/>
      <c r="F59" s="39"/>
      <c r="G59" s="40"/>
      <c r="H59" s="39"/>
      <c r="I59" s="39"/>
      <c r="J59" s="39"/>
      <c r="K59" s="39"/>
      <c r="L59" s="39"/>
      <c r="M59" s="39"/>
      <c r="N59" s="39"/>
      <c r="O59" s="39"/>
      <c r="P59" s="39"/>
      <c r="Q59" s="75"/>
      <c r="R59" s="39"/>
      <c r="S59" s="38"/>
      <c r="T59" s="39">
        <v>100000</v>
      </c>
      <c r="U59" s="41" t="s">
        <v>160</v>
      </c>
      <c r="V59" s="39"/>
    </row>
    <row r="60" spans="1:22" ht="30" customHeight="1" x14ac:dyDescent="0.3">
      <c r="A60" s="42">
        <v>58926</v>
      </c>
      <c r="B60" s="43"/>
      <c r="C60" s="100"/>
      <c r="D60" s="43"/>
      <c r="E60" s="43"/>
      <c r="F60" s="43"/>
      <c r="G60" s="40"/>
      <c r="H60" s="43"/>
      <c r="I60" s="43"/>
      <c r="J60" s="43"/>
      <c r="K60" s="43"/>
      <c r="L60" s="43"/>
      <c r="M60" s="43"/>
      <c r="N60" s="43"/>
      <c r="O60" s="43"/>
      <c r="P60" s="43"/>
      <c r="Q60" s="76"/>
      <c r="R60" s="43"/>
      <c r="S60" s="45">
        <v>58926</v>
      </c>
      <c r="T60" s="43"/>
      <c r="U60" s="50"/>
      <c r="V60" s="43"/>
    </row>
    <row r="61" spans="1:22" ht="30" customHeight="1" x14ac:dyDescent="0.3">
      <c r="A61" s="42">
        <v>58926</v>
      </c>
      <c r="B61" s="39" t="s">
        <v>193</v>
      </c>
      <c r="C61" s="101"/>
      <c r="D61" s="52">
        <v>18</v>
      </c>
      <c r="E61" s="39">
        <v>428400</v>
      </c>
      <c r="F61" s="39">
        <v>19075</v>
      </c>
      <c r="G61" s="40">
        <f>30520.03-F61-F30</f>
        <v>2.9999999998835847E-2</v>
      </c>
      <c r="H61" s="39">
        <f>E61-F61</f>
        <v>409325</v>
      </c>
      <c r="I61" s="39">
        <f>H61*18%</f>
        <v>73678.5</v>
      </c>
      <c r="J61" s="39">
        <f>H61+I61</f>
        <v>483003.5</v>
      </c>
      <c r="K61" s="39">
        <f>H61*1%</f>
        <v>4093.25</v>
      </c>
      <c r="L61" s="39">
        <f>H61*5%</f>
        <v>20466.25</v>
      </c>
      <c r="M61" s="39"/>
      <c r="N61" s="39"/>
      <c r="O61" s="41"/>
      <c r="P61" s="48">
        <f>I61</f>
        <v>73678.5</v>
      </c>
      <c r="Q61" s="77"/>
      <c r="R61" s="39">
        <f>J61-SUM(K61:P61)</f>
        <v>384765.5</v>
      </c>
      <c r="S61" s="38"/>
      <c r="T61" s="39">
        <v>99000</v>
      </c>
      <c r="U61" s="41" t="s">
        <v>51</v>
      </c>
      <c r="V61" s="39">
        <f>SUM(R61:R64)-SUM(T61:T64)</f>
        <v>73678</v>
      </c>
    </row>
    <row r="62" spans="1:22" ht="30" customHeight="1" x14ac:dyDescent="0.3">
      <c r="A62" s="42">
        <v>58926</v>
      </c>
      <c r="B62" s="39" t="s">
        <v>149</v>
      </c>
      <c r="C62" s="101"/>
      <c r="D62" s="39">
        <v>18</v>
      </c>
      <c r="E62" s="39">
        <f>P61</f>
        <v>73678.5</v>
      </c>
      <c r="F62" s="39"/>
      <c r="G62" s="40"/>
      <c r="H62" s="39"/>
      <c r="I62" s="39"/>
      <c r="J62" s="39"/>
      <c r="K62" s="39"/>
      <c r="L62" s="39"/>
      <c r="M62" s="39"/>
      <c r="N62" s="39"/>
      <c r="O62" s="39"/>
      <c r="P62" s="39"/>
      <c r="Q62" s="75"/>
      <c r="R62" s="48">
        <f>E62</f>
        <v>73678.5</v>
      </c>
      <c r="S62" s="38"/>
      <c r="T62" s="39">
        <v>49500</v>
      </c>
      <c r="U62" s="41" t="s">
        <v>47</v>
      </c>
      <c r="V62" s="39"/>
    </row>
    <row r="63" spans="1:22" ht="30" customHeight="1" x14ac:dyDescent="0.3">
      <c r="A63" s="42">
        <v>58926</v>
      </c>
      <c r="B63" s="39"/>
      <c r="C63" s="101"/>
      <c r="D63" s="39"/>
      <c r="E63" s="39"/>
      <c r="F63" s="39"/>
      <c r="G63" s="40"/>
      <c r="H63" s="39"/>
      <c r="I63" s="39"/>
      <c r="J63" s="39"/>
      <c r="K63" s="39"/>
      <c r="L63" s="39"/>
      <c r="M63" s="39"/>
      <c r="N63" s="39"/>
      <c r="O63" s="39"/>
      <c r="P63" s="39"/>
      <c r="Q63" s="75"/>
      <c r="R63" s="48"/>
      <c r="S63" s="38"/>
      <c r="T63" s="39">
        <v>86266</v>
      </c>
      <c r="U63" s="55" t="s">
        <v>115</v>
      </c>
      <c r="V63" s="39"/>
    </row>
    <row r="64" spans="1:22" ht="30" customHeight="1" x14ac:dyDescent="0.3">
      <c r="A64" s="42">
        <v>58926</v>
      </c>
      <c r="B64" s="39"/>
      <c r="C64" s="101"/>
      <c r="D64" s="39"/>
      <c r="E64" s="39"/>
      <c r="F64" s="39"/>
      <c r="G64" s="40"/>
      <c r="H64" s="39"/>
      <c r="I64" s="39"/>
      <c r="J64" s="39"/>
      <c r="K64" s="39"/>
      <c r="L64" s="39"/>
      <c r="M64" s="39"/>
      <c r="N64" s="39"/>
      <c r="O64" s="39"/>
      <c r="P64" s="39"/>
      <c r="Q64" s="75"/>
      <c r="R64" s="39"/>
      <c r="S64" s="38"/>
      <c r="T64" s="39">
        <v>150000</v>
      </c>
      <c r="U64" s="56" t="s">
        <v>152</v>
      </c>
      <c r="V64" s="39"/>
    </row>
    <row r="65" spans="1:22" ht="30" customHeight="1" x14ac:dyDescent="0.3">
      <c r="A65" s="42">
        <v>58927</v>
      </c>
      <c r="B65" s="43"/>
      <c r="C65" s="100"/>
      <c r="D65" s="43"/>
      <c r="E65" s="43"/>
      <c r="F65" s="43"/>
      <c r="G65" s="40"/>
      <c r="H65" s="43"/>
      <c r="I65" s="43"/>
      <c r="J65" s="43"/>
      <c r="K65" s="43"/>
      <c r="L65" s="43"/>
      <c r="M65" s="43"/>
      <c r="N65" s="43"/>
      <c r="O65" s="43"/>
      <c r="P65" s="43"/>
      <c r="Q65" s="76"/>
      <c r="R65" s="43"/>
      <c r="S65" s="45">
        <v>58927</v>
      </c>
      <c r="T65" s="43"/>
      <c r="U65" s="50"/>
      <c r="V65" s="43"/>
    </row>
    <row r="66" spans="1:22" ht="30" customHeight="1" x14ac:dyDescent="0.3">
      <c r="A66" s="42">
        <v>58927</v>
      </c>
      <c r="B66" s="39" t="s">
        <v>194</v>
      </c>
      <c r="C66" s="101">
        <v>45476</v>
      </c>
      <c r="D66" s="52">
        <v>1</v>
      </c>
      <c r="E66" s="39">
        <v>315070</v>
      </c>
      <c r="F66" s="39">
        <v>0</v>
      </c>
      <c r="G66" s="40">
        <f>351083.44-F66-F67</f>
        <v>351083.44</v>
      </c>
      <c r="H66" s="39">
        <f>E66-F66</f>
        <v>315070</v>
      </c>
      <c r="I66" s="39">
        <f>H66*18%</f>
        <v>56712.6</v>
      </c>
      <c r="J66" s="39">
        <f>H66+I66</f>
        <v>371782.6</v>
      </c>
      <c r="K66" s="39">
        <f>H66*1%</f>
        <v>3150.7000000000003</v>
      </c>
      <c r="L66" s="39">
        <f>H66*5%</f>
        <v>15753.5</v>
      </c>
      <c r="M66" s="39"/>
      <c r="N66" s="39"/>
      <c r="O66" s="41"/>
      <c r="P66" s="82">
        <f>I66</f>
        <v>56712.6</v>
      </c>
      <c r="Q66" s="77">
        <v>30100</v>
      </c>
      <c r="R66" s="39">
        <f>J66-SUM(K66:Q66)</f>
        <v>266065.8</v>
      </c>
      <c r="S66" s="38"/>
      <c r="T66" s="39">
        <v>99000</v>
      </c>
      <c r="U66" s="41" t="s">
        <v>52</v>
      </c>
      <c r="V66" s="39">
        <f>SUM(R66:R68)-SUM(T66:T68)</f>
        <v>-30934.200000000012</v>
      </c>
    </row>
    <row r="67" spans="1:22" ht="30" customHeight="1" x14ac:dyDescent="0.3">
      <c r="A67" s="42">
        <v>58927</v>
      </c>
      <c r="B67" s="39"/>
      <c r="C67" s="101"/>
      <c r="D67" s="39"/>
      <c r="E67" s="39"/>
      <c r="F67" s="39"/>
      <c r="G67" s="40"/>
      <c r="H67" s="39"/>
      <c r="I67" s="39"/>
      <c r="J67" s="39"/>
      <c r="K67" s="39"/>
      <c r="L67" s="39"/>
      <c r="M67" s="39"/>
      <c r="N67" s="39"/>
      <c r="O67" s="39"/>
      <c r="P67" s="39"/>
      <c r="Q67" s="75"/>
      <c r="R67" s="39"/>
      <c r="S67" s="57"/>
      <c r="T67" s="39">
        <v>49500</v>
      </c>
      <c r="U67" s="39" t="s">
        <v>53</v>
      </c>
      <c r="V67" s="39"/>
    </row>
    <row r="68" spans="1:22" ht="30" customHeight="1" x14ac:dyDescent="0.3">
      <c r="A68" s="42">
        <v>58927</v>
      </c>
      <c r="B68" s="39"/>
      <c r="C68" s="101"/>
      <c r="D68" s="39"/>
      <c r="E68" s="39"/>
      <c r="F68" s="39"/>
      <c r="G68" s="40"/>
      <c r="H68" s="39"/>
      <c r="I68" s="39"/>
      <c r="J68" s="39"/>
      <c r="K68" s="39"/>
      <c r="L68" s="39"/>
      <c r="M68" s="39"/>
      <c r="N68" s="39"/>
      <c r="O68" s="39"/>
      <c r="P68" s="39"/>
      <c r="Q68" s="75"/>
      <c r="R68" s="39"/>
      <c r="S68" s="57"/>
      <c r="T68" s="39">
        <v>148500</v>
      </c>
      <c r="U68" s="39" t="s">
        <v>150</v>
      </c>
      <c r="V68" s="39"/>
    </row>
    <row r="69" spans="1:22" ht="30" customHeight="1" x14ac:dyDescent="0.3">
      <c r="A69" s="42">
        <v>58928</v>
      </c>
      <c r="B69" s="43"/>
      <c r="C69" s="100"/>
      <c r="D69" s="43"/>
      <c r="E69" s="43"/>
      <c r="F69" s="43"/>
      <c r="G69" s="40"/>
      <c r="H69" s="43"/>
      <c r="I69" s="43"/>
      <c r="J69" s="43"/>
      <c r="K69" s="43"/>
      <c r="L69" s="43"/>
      <c r="M69" s="43"/>
      <c r="N69" s="43"/>
      <c r="O69" s="43"/>
      <c r="P69" s="43"/>
      <c r="Q69" s="76"/>
      <c r="R69" s="43"/>
      <c r="S69" s="45">
        <v>58928</v>
      </c>
      <c r="T69" s="43"/>
      <c r="U69" s="50"/>
      <c r="V69" s="43"/>
    </row>
    <row r="70" spans="1:22" ht="30" customHeight="1" x14ac:dyDescent="0.3">
      <c r="A70" s="42">
        <v>58928</v>
      </c>
      <c r="B70" s="39" t="s">
        <v>195</v>
      </c>
      <c r="C70" s="101">
        <v>45190</v>
      </c>
      <c r="D70" s="52">
        <v>15</v>
      </c>
      <c r="E70" s="39">
        <v>632106</v>
      </c>
      <c r="F70" s="39">
        <v>103490</v>
      </c>
      <c r="G70" s="40">
        <f>351083.44-F70-F71</f>
        <v>160230.44</v>
      </c>
      <c r="H70" s="39">
        <f>E70-F70</f>
        <v>528616</v>
      </c>
      <c r="I70" s="39">
        <f>H70*18%</f>
        <v>95150.87999999999</v>
      </c>
      <c r="J70" s="39">
        <f>H70+I70</f>
        <v>623766.88</v>
      </c>
      <c r="K70" s="39">
        <f>H70*1%</f>
        <v>5286.16</v>
      </c>
      <c r="L70" s="39">
        <f>H70*5%</f>
        <v>26430.800000000003</v>
      </c>
      <c r="M70" s="39">
        <f>H70*10%</f>
        <v>52861.600000000006</v>
      </c>
      <c r="N70" s="39">
        <f>H70*10%</f>
        <v>52861.600000000006</v>
      </c>
      <c r="O70" s="41"/>
      <c r="P70" s="48">
        <f>I70</f>
        <v>95150.87999999999</v>
      </c>
      <c r="Q70" s="77"/>
      <c r="R70" s="39">
        <f>J70-SUM(K70:P70)</f>
        <v>391175.83999999997</v>
      </c>
      <c r="S70" s="38"/>
      <c r="T70" s="39">
        <v>148500</v>
      </c>
      <c r="U70" s="41" t="s">
        <v>37</v>
      </c>
      <c r="V70" s="39">
        <f>SUM(R70:R79)-SUM(T70:T79)</f>
        <v>-59803.380000000121</v>
      </c>
    </row>
    <row r="71" spans="1:22" ht="30" customHeight="1" x14ac:dyDescent="0.3">
      <c r="A71" s="42">
        <v>58928</v>
      </c>
      <c r="B71" s="39" t="s">
        <v>195</v>
      </c>
      <c r="C71" s="101">
        <v>45229</v>
      </c>
      <c r="D71" s="52">
        <v>16</v>
      </c>
      <c r="E71" s="39">
        <v>464025</v>
      </c>
      <c r="F71" s="39">
        <v>87363</v>
      </c>
      <c r="G71" s="40"/>
      <c r="H71" s="39">
        <f>E71-F71</f>
        <v>376662</v>
      </c>
      <c r="I71" s="39">
        <f>H71*18%</f>
        <v>67799.16</v>
      </c>
      <c r="J71" s="39">
        <f>H71+I71</f>
        <v>444461.16000000003</v>
      </c>
      <c r="K71" s="39">
        <f>H71*1%</f>
        <v>3766.62</v>
      </c>
      <c r="L71" s="39">
        <f>H71*5%</f>
        <v>18833.100000000002</v>
      </c>
      <c r="M71" s="39">
        <f>H71*10%</f>
        <v>37666.200000000004</v>
      </c>
      <c r="N71" s="39">
        <f>H71*10%</f>
        <v>37666.200000000004</v>
      </c>
      <c r="O71" s="41"/>
      <c r="P71" s="48">
        <f>I71</f>
        <v>67799.16</v>
      </c>
      <c r="Q71" s="77"/>
      <c r="R71" s="39">
        <f>J71-SUM(K71:P71)</f>
        <v>278729.88</v>
      </c>
      <c r="S71" s="38"/>
      <c r="T71" s="39">
        <v>148500</v>
      </c>
      <c r="U71" s="41" t="s">
        <v>35</v>
      </c>
      <c r="V71" s="39"/>
    </row>
    <row r="72" spans="1:22" ht="30" customHeight="1" x14ac:dyDescent="0.3">
      <c r="A72" s="42">
        <v>58928</v>
      </c>
      <c r="B72" s="39" t="s">
        <v>195</v>
      </c>
      <c r="C72" s="101">
        <v>45316</v>
      </c>
      <c r="D72" s="52">
        <v>22</v>
      </c>
      <c r="E72" s="39">
        <v>631323</v>
      </c>
      <c r="F72" s="39">
        <v>207684</v>
      </c>
      <c r="G72" s="40"/>
      <c r="H72" s="39">
        <f>E72-F72</f>
        <v>423639</v>
      </c>
      <c r="I72" s="39">
        <f>H72*18%</f>
        <v>76255.02</v>
      </c>
      <c r="J72" s="39">
        <f>H72+I72</f>
        <v>499894.02</v>
      </c>
      <c r="K72" s="39">
        <f>H72*1%</f>
        <v>4236.3900000000003</v>
      </c>
      <c r="L72" s="39">
        <f>H72*5%</f>
        <v>21181.95</v>
      </c>
      <c r="M72" s="39">
        <f>H72*10%</f>
        <v>42363.9</v>
      </c>
      <c r="N72" s="39">
        <f>H72*10%</f>
        <v>42363.9</v>
      </c>
      <c r="O72" s="41"/>
      <c r="P72" s="39">
        <f>I72</f>
        <v>76255.02</v>
      </c>
      <c r="Q72" s="77"/>
      <c r="R72" s="39">
        <f>J72-SUM(K72:P72)</f>
        <v>313492.86</v>
      </c>
      <c r="S72" s="38"/>
      <c r="T72" s="39">
        <v>94176</v>
      </c>
      <c r="U72" s="41" t="s">
        <v>41</v>
      </c>
      <c r="V72" s="39"/>
    </row>
    <row r="73" spans="1:22" ht="30" customHeight="1" x14ac:dyDescent="0.3">
      <c r="A73" s="42">
        <v>58928</v>
      </c>
      <c r="B73" s="39" t="s">
        <v>149</v>
      </c>
      <c r="C73" s="101"/>
      <c r="D73" s="52">
        <v>15</v>
      </c>
      <c r="E73" s="39">
        <f>P70</f>
        <v>95150.87999999999</v>
      </c>
      <c r="F73" s="39"/>
      <c r="G73" s="40"/>
      <c r="H73" s="39"/>
      <c r="I73" s="39"/>
      <c r="J73" s="39"/>
      <c r="K73" s="39"/>
      <c r="L73" s="39"/>
      <c r="M73" s="39"/>
      <c r="N73" s="39"/>
      <c r="O73" s="41"/>
      <c r="P73" s="39"/>
      <c r="Q73" s="77"/>
      <c r="R73" s="48">
        <f>E73</f>
        <v>95150.87999999999</v>
      </c>
      <c r="S73" s="38"/>
      <c r="T73" s="39">
        <v>99000</v>
      </c>
      <c r="U73" s="41" t="s">
        <v>137</v>
      </c>
      <c r="V73" s="39"/>
    </row>
    <row r="74" spans="1:22" ht="30" customHeight="1" x14ac:dyDescent="0.3">
      <c r="A74" s="42">
        <v>58928</v>
      </c>
      <c r="B74" s="39" t="s">
        <v>149</v>
      </c>
      <c r="C74" s="101"/>
      <c r="D74" s="52">
        <v>16</v>
      </c>
      <c r="E74" s="39">
        <f>P71</f>
        <v>67799.16</v>
      </c>
      <c r="F74" s="39"/>
      <c r="G74" s="40"/>
      <c r="H74" s="39"/>
      <c r="I74" s="39"/>
      <c r="J74" s="39"/>
      <c r="K74" s="39"/>
      <c r="L74" s="39"/>
      <c r="M74" s="39"/>
      <c r="N74" s="39"/>
      <c r="O74" s="41"/>
      <c r="P74" s="39"/>
      <c r="Q74" s="77"/>
      <c r="R74" s="48">
        <f>E74</f>
        <v>67799.16</v>
      </c>
      <c r="S74" s="38"/>
      <c r="T74" s="39">
        <v>179730</v>
      </c>
      <c r="U74" s="41" t="s">
        <v>136</v>
      </c>
      <c r="V74" s="39"/>
    </row>
    <row r="75" spans="1:22" ht="30" customHeight="1" x14ac:dyDescent="0.3">
      <c r="A75" s="42">
        <v>58928</v>
      </c>
      <c r="B75" s="39"/>
      <c r="C75" s="101"/>
      <c r="D75" s="39"/>
      <c r="E75" s="39"/>
      <c r="F75" s="39"/>
      <c r="G75" s="40"/>
      <c r="H75" s="39"/>
      <c r="I75" s="39"/>
      <c r="J75" s="39"/>
      <c r="K75" s="39"/>
      <c r="L75" s="39"/>
      <c r="M75" s="39"/>
      <c r="N75" s="39"/>
      <c r="O75" s="39"/>
      <c r="P75" s="39"/>
      <c r="Q75" s="75"/>
      <c r="R75" s="39"/>
      <c r="S75" s="38"/>
      <c r="T75" s="39">
        <v>148500</v>
      </c>
      <c r="U75" s="41" t="s">
        <v>135</v>
      </c>
      <c r="V75" s="39"/>
    </row>
    <row r="76" spans="1:22" ht="30" customHeight="1" x14ac:dyDescent="0.3">
      <c r="A76" s="42">
        <v>58928</v>
      </c>
      <c r="B76" s="39"/>
      <c r="C76" s="101"/>
      <c r="D76" s="39"/>
      <c r="E76" s="39"/>
      <c r="F76" s="39"/>
      <c r="G76" s="40"/>
      <c r="H76" s="39"/>
      <c r="I76" s="39"/>
      <c r="J76" s="39"/>
      <c r="K76" s="39"/>
      <c r="L76" s="39"/>
      <c r="M76" s="39"/>
      <c r="N76" s="39"/>
      <c r="O76" s="39"/>
      <c r="P76" s="39"/>
      <c r="Q76" s="75"/>
      <c r="R76" s="39"/>
      <c r="S76" s="38"/>
      <c r="T76" s="39">
        <v>164996</v>
      </c>
      <c r="U76" s="41" t="s">
        <v>143</v>
      </c>
      <c r="V76" s="39"/>
    </row>
    <row r="77" spans="1:22" ht="30" customHeight="1" x14ac:dyDescent="0.3">
      <c r="A77" s="42">
        <v>58928</v>
      </c>
      <c r="B77" s="39"/>
      <c r="C77" s="101"/>
      <c r="D77" s="39"/>
      <c r="E77" s="39"/>
      <c r="F77" s="39"/>
      <c r="G77" s="40"/>
      <c r="H77" s="39"/>
      <c r="I77" s="39"/>
      <c r="J77" s="39"/>
      <c r="K77" s="39"/>
      <c r="L77" s="39"/>
      <c r="M77" s="39"/>
      <c r="N77" s="39"/>
      <c r="O77" s="39"/>
      <c r="P77" s="39"/>
      <c r="Q77" s="75"/>
      <c r="R77" s="39"/>
      <c r="S77" s="38"/>
      <c r="T77" s="39">
        <v>49500</v>
      </c>
      <c r="U77" s="41" t="s">
        <v>156</v>
      </c>
      <c r="V77" s="39"/>
    </row>
    <row r="78" spans="1:22" ht="30" customHeight="1" x14ac:dyDescent="0.3">
      <c r="A78" s="42">
        <v>58928</v>
      </c>
      <c r="B78" s="39"/>
      <c r="C78" s="101"/>
      <c r="D78" s="39"/>
      <c r="E78" s="39"/>
      <c r="F78" s="39"/>
      <c r="G78" s="40"/>
      <c r="H78" s="39"/>
      <c r="I78" s="39"/>
      <c r="J78" s="39"/>
      <c r="K78" s="39"/>
      <c r="L78" s="39"/>
      <c r="M78" s="39"/>
      <c r="N78" s="39"/>
      <c r="O78" s="39"/>
      <c r="P78" s="39"/>
      <c r="Q78" s="75"/>
      <c r="R78" s="39"/>
      <c r="S78" s="38"/>
      <c r="T78" s="39">
        <v>49500</v>
      </c>
      <c r="U78" s="41" t="s">
        <v>161</v>
      </c>
      <c r="V78" s="39"/>
    </row>
    <row r="79" spans="1:22" ht="30" customHeight="1" x14ac:dyDescent="0.2">
      <c r="A79" s="42">
        <v>58928</v>
      </c>
      <c r="B79" s="39"/>
      <c r="C79" s="101"/>
      <c r="D79" s="39"/>
      <c r="E79" s="39"/>
      <c r="F79" s="39"/>
      <c r="G79" s="40"/>
      <c r="H79" s="39"/>
      <c r="I79" s="39"/>
      <c r="J79" s="39"/>
      <c r="K79" s="39"/>
      <c r="L79" s="39"/>
      <c r="M79" s="39"/>
      <c r="N79" s="39"/>
      <c r="O79" s="39"/>
      <c r="P79" s="39"/>
      <c r="Q79" s="75"/>
      <c r="R79" s="39"/>
      <c r="S79" s="38"/>
      <c r="T79" s="39">
        <v>123750</v>
      </c>
      <c r="U79" s="85" t="s">
        <v>164</v>
      </c>
      <c r="V79" s="39"/>
    </row>
    <row r="80" spans="1:22" ht="30" customHeight="1" x14ac:dyDescent="0.3">
      <c r="A80" s="42">
        <v>59025</v>
      </c>
      <c r="B80" s="43"/>
      <c r="C80" s="100"/>
      <c r="D80" s="43"/>
      <c r="E80" s="43"/>
      <c r="F80" s="43"/>
      <c r="G80" s="40"/>
      <c r="H80" s="43"/>
      <c r="I80" s="43"/>
      <c r="J80" s="43"/>
      <c r="K80" s="43"/>
      <c r="L80" s="43"/>
      <c r="M80" s="43"/>
      <c r="N80" s="43"/>
      <c r="O80" s="43"/>
      <c r="P80" s="43"/>
      <c r="Q80" s="76"/>
      <c r="R80" s="43"/>
      <c r="S80" s="45">
        <v>59025</v>
      </c>
      <c r="T80" s="43"/>
      <c r="U80" s="50"/>
      <c r="V80" s="43"/>
    </row>
    <row r="81" spans="1:22" ht="30" customHeight="1" x14ac:dyDescent="0.3">
      <c r="A81" s="42">
        <v>59025</v>
      </c>
      <c r="B81" s="39" t="s">
        <v>196</v>
      </c>
      <c r="C81" s="101">
        <v>45164</v>
      </c>
      <c r="D81" s="52">
        <v>12</v>
      </c>
      <c r="E81" s="39">
        <v>40000</v>
      </c>
      <c r="F81" s="39"/>
      <c r="G81" s="40"/>
      <c r="H81" s="39">
        <f>E81-F81</f>
        <v>40000</v>
      </c>
      <c r="I81" s="39">
        <f>H81*18%</f>
        <v>7200</v>
      </c>
      <c r="J81" s="39">
        <f>H81+I81</f>
        <v>47200</v>
      </c>
      <c r="K81" s="39">
        <f>H81*1%</f>
        <v>400</v>
      </c>
      <c r="L81" s="39">
        <f>H81*5%</f>
        <v>2000</v>
      </c>
      <c r="M81" s="39"/>
      <c r="N81" s="39"/>
      <c r="O81" s="39"/>
      <c r="P81" s="48">
        <f>I81</f>
        <v>7200</v>
      </c>
      <c r="Q81" s="75"/>
      <c r="R81" s="39">
        <f>J81-SUM(K81:P81)</f>
        <v>37600</v>
      </c>
      <c r="S81" s="38"/>
      <c r="T81" s="39">
        <v>37600</v>
      </c>
      <c r="U81" s="41" t="s">
        <v>119</v>
      </c>
      <c r="V81" s="39">
        <f>SUM(R81:R82)-SUM(T81:T82)</f>
        <v>7200</v>
      </c>
    </row>
    <row r="82" spans="1:22" ht="30" customHeight="1" x14ac:dyDescent="0.3">
      <c r="A82" s="42">
        <v>59025</v>
      </c>
      <c r="B82" s="39" t="s">
        <v>149</v>
      </c>
      <c r="C82" s="101"/>
      <c r="D82" s="52">
        <v>12</v>
      </c>
      <c r="E82" s="39">
        <v>7200</v>
      </c>
      <c r="F82" s="39"/>
      <c r="G82" s="40"/>
      <c r="H82" s="39"/>
      <c r="I82" s="39"/>
      <c r="J82" s="39"/>
      <c r="K82" s="39"/>
      <c r="L82" s="39"/>
      <c r="M82" s="39"/>
      <c r="N82" s="39"/>
      <c r="O82" s="39"/>
      <c r="P82" s="39"/>
      <c r="Q82" s="75"/>
      <c r="R82" s="48">
        <f>E82</f>
        <v>7200</v>
      </c>
      <c r="S82" s="38"/>
      <c r="T82" s="39"/>
      <c r="U82" s="41"/>
      <c r="V82" s="39"/>
    </row>
    <row r="83" spans="1:22" ht="30" customHeight="1" x14ac:dyDescent="0.3">
      <c r="A83" s="42">
        <v>59907</v>
      </c>
      <c r="B83" s="43"/>
      <c r="C83" s="100"/>
      <c r="D83" s="43"/>
      <c r="E83" s="43"/>
      <c r="F83" s="43"/>
      <c r="G83" s="40"/>
      <c r="H83" s="43"/>
      <c r="I83" s="43"/>
      <c r="J83" s="43"/>
      <c r="K83" s="43"/>
      <c r="L83" s="43"/>
      <c r="M83" s="43"/>
      <c r="N83" s="43"/>
      <c r="O83" s="43"/>
      <c r="P83" s="43"/>
      <c r="Q83" s="76"/>
      <c r="R83" s="43"/>
      <c r="S83" s="45">
        <v>59907</v>
      </c>
      <c r="T83" s="43"/>
      <c r="U83" s="50"/>
      <c r="V83" s="43"/>
    </row>
    <row r="84" spans="1:22" ht="30" customHeight="1" x14ac:dyDescent="0.3">
      <c r="A84" s="42">
        <v>59907</v>
      </c>
      <c r="B84" s="39" t="s">
        <v>197</v>
      </c>
      <c r="C84" s="101">
        <v>45476</v>
      </c>
      <c r="D84" s="52">
        <v>2</v>
      </c>
      <c r="E84" s="39">
        <v>323850</v>
      </c>
      <c r="F84" s="39"/>
      <c r="G84" s="40"/>
      <c r="H84" s="39">
        <f>E84-F84</f>
        <v>323850</v>
      </c>
      <c r="I84" s="39">
        <f>H84*18%</f>
        <v>58293</v>
      </c>
      <c r="J84" s="39">
        <f>H84+I84</f>
        <v>382143</v>
      </c>
      <c r="K84" s="39">
        <f>H84*1%</f>
        <v>3238.5</v>
      </c>
      <c r="L84" s="39">
        <f>H84*5%</f>
        <v>16192.5</v>
      </c>
      <c r="M84" s="39"/>
      <c r="N84" s="39"/>
      <c r="O84" s="39"/>
      <c r="P84" s="39">
        <f>I84</f>
        <v>58293</v>
      </c>
      <c r="Q84" s="75"/>
      <c r="R84" s="39">
        <f>J84-SUM(K84:P84)</f>
        <v>304419</v>
      </c>
      <c r="S84" s="38"/>
      <c r="T84" s="39">
        <v>69300</v>
      </c>
      <c r="U84" s="41" t="s">
        <v>128</v>
      </c>
      <c r="V84" s="39">
        <f>SUM(R84:R86)-SUM(T84:T86)</f>
        <v>-2481</v>
      </c>
    </row>
    <row r="85" spans="1:22" ht="30" customHeight="1" x14ac:dyDescent="0.3">
      <c r="A85" s="42">
        <v>59907</v>
      </c>
      <c r="B85" s="39"/>
      <c r="C85" s="101"/>
      <c r="D85" s="52"/>
      <c r="E85" s="39"/>
      <c r="F85" s="39"/>
      <c r="G85" s="40"/>
      <c r="H85" s="39"/>
      <c r="I85" s="39"/>
      <c r="J85" s="39"/>
      <c r="K85" s="39"/>
      <c r="L85" s="39"/>
      <c r="M85" s="39"/>
      <c r="N85" s="39"/>
      <c r="O85" s="39"/>
      <c r="P85" s="39"/>
      <c r="Q85" s="75"/>
      <c r="R85" s="39"/>
      <c r="S85" s="38"/>
      <c r="T85" s="39">
        <v>89100</v>
      </c>
      <c r="U85" s="41" t="s">
        <v>148</v>
      </c>
      <c r="V85" s="39"/>
    </row>
    <row r="86" spans="1:22" ht="30" customHeight="1" x14ac:dyDescent="0.3">
      <c r="A86" s="42">
        <v>59907</v>
      </c>
      <c r="B86" s="39"/>
      <c r="C86" s="101"/>
      <c r="D86" s="52"/>
      <c r="E86" s="39"/>
      <c r="F86" s="39"/>
      <c r="G86" s="40"/>
      <c r="H86" s="39"/>
      <c r="I86" s="39"/>
      <c r="J86" s="39"/>
      <c r="K86" s="39"/>
      <c r="L86" s="39"/>
      <c r="M86" s="39"/>
      <c r="N86" s="39"/>
      <c r="O86" s="39"/>
      <c r="P86" s="39"/>
      <c r="Q86" s="75"/>
      <c r="R86" s="39"/>
      <c r="S86" s="38"/>
      <c r="T86" s="39">
        <v>148500</v>
      </c>
      <c r="U86" s="41" t="s">
        <v>154</v>
      </c>
      <c r="V86" s="39"/>
    </row>
    <row r="87" spans="1:22" ht="30" customHeight="1" x14ac:dyDescent="0.3">
      <c r="A87" s="42">
        <v>60356</v>
      </c>
      <c r="B87" s="43"/>
      <c r="C87" s="100"/>
      <c r="D87" s="43"/>
      <c r="E87" s="43"/>
      <c r="F87" s="43"/>
      <c r="G87" s="40"/>
      <c r="H87" s="43"/>
      <c r="I87" s="43"/>
      <c r="J87" s="43"/>
      <c r="K87" s="43"/>
      <c r="L87" s="43"/>
      <c r="M87" s="43"/>
      <c r="N87" s="43"/>
      <c r="O87" s="43"/>
      <c r="P87" s="43"/>
      <c r="Q87" s="76"/>
      <c r="R87" s="43"/>
      <c r="S87" s="45">
        <v>60356</v>
      </c>
      <c r="T87" s="43"/>
      <c r="U87" s="50"/>
      <c r="V87" s="43"/>
    </row>
    <row r="88" spans="1:22" ht="30" customHeight="1" x14ac:dyDescent="0.3">
      <c r="A88" s="42">
        <v>60356</v>
      </c>
      <c r="B88" s="39" t="s">
        <v>198</v>
      </c>
      <c r="C88" s="101">
        <v>45267</v>
      </c>
      <c r="D88" s="52">
        <v>17</v>
      </c>
      <c r="E88" s="39">
        <v>351780</v>
      </c>
      <c r="F88" s="39">
        <v>57225</v>
      </c>
      <c r="G88" s="40">
        <f>208578.79+61040.05-F88</f>
        <v>212393.84000000003</v>
      </c>
      <c r="H88" s="39">
        <f>E88-F88</f>
        <v>294555</v>
      </c>
      <c r="I88" s="39">
        <f>H88*18%</f>
        <v>53019.9</v>
      </c>
      <c r="J88" s="39">
        <f>H88+I88</f>
        <v>347574.9</v>
      </c>
      <c r="K88" s="39">
        <f>H88*1%</f>
        <v>2945.55</v>
      </c>
      <c r="L88" s="39">
        <f>H88*5%</f>
        <v>14727.75</v>
      </c>
      <c r="M88" s="39">
        <f>H88*10%</f>
        <v>29455.5</v>
      </c>
      <c r="N88" s="39">
        <f>H88*10%</f>
        <v>29455.5</v>
      </c>
      <c r="O88" s="39"/>
      <c r="P88" s="48">
        <f>I88</f>
        <v>53019.9</v>
      </c>
      <c r="Q88" s="75"/>
      <c r="R88" s="39">
        <f>J88-SUM(K88:P88)</f>
        <v>217970.7</v>
      </c>
      <c r="S88" s="38"/>
      <c r="T88" s="39">
        <v>148500</v>
      </c>
      <c r="U88" s="41" t="s">
        <v>145</v>
      </c>
      <c r="V88" s="39">
        <f>SUM(R88:R90)-SUM(T88:T90)</f>
        <v>-45981.399999999965</v>
      </c>
    </row>
    <row r="89" spans="1:22" ht="30" customHeight="1" x14ac:dyDescent="0.3">
      <c r="A89" s="42">
        <v>60356</v>
      </c>
      <c r="B89" s="39" t="s">
        <v>149</v>
      </c>
      <c r="C89" s="101"/>
      <c r="D89" s="52">
        <v>17</v>
      </c>
      <c r="E89" s="39">
        <f>P88</f>
        <v>53019.9</v>
      </c>
      <c r="F89" s="39"/>
      <c r="G89" s="40"/>
      <c r="H89" s="39"/>
      <c r="I89" s="39"/>
      <c r="J89" s="39"/>
      <c r="K89" s="39"/>
      <c r="L89" s="39"/>
      <c r="M89" s="39"/>
      <c r="N89" s="39"/>
      <c r="O89" s="39"/>
      <c r="P89" s="39"/>
      <c r="Q89" s="75"/>
      <c r="R89" s="48">
        <f>E89</f>
        <v>53019.9</v>
      </c>
      <c r="S89" s="38"/>
      <c r="T89" s="39">
        <v>69472</v>
      </c>
      <c r="U89" s="41" t="s">
        <v>144</v>
      </c>
      <c r="V89" s="39"/>
    </row>
    <row r="90" spans="1:22" ht="30" customHeight="1" x14ac:dyDescent="0.3">
      <c r="A90" s="42">
        <v>60356</v>
      </c>
      <c r="B90" s="39"/>
      <c r="C90" s="101"/>
      <c r="D90" s="52"/>
      <c r="E90" s="39"/>
      <c r="F90" s="39"/>
      <c r="G90" s="40"/>
      <c r="H90" s="39"/>
      <c r="I90" s="39"/>
      <c r="J90" s="39"/>
      <c r="K90" s="39"/>
      <c r="L90" s="39"/>
      <c r="M90" s="39"/>
      <c r="N90" s="39"/>
      <c r="O90" s="39"/>
      <c r="P90" s="39"/>
      <c r="Q90" s="75"/>
      <c r="R90" s="39"/>
      <c r="S90" s="38"/>
      <c r="T90" s="39">
        <v>99000</v>
      </c>
      <c r="U90" s="41" t="s">
        <v>155</v>
      </c>
      <c r="V90" s="39"/>
    </row>
    <row r="91" spans="1:22" ht="30" customHeight="1" x14ac:dyDescent="0.3">
      <c r="A91" s="42">
        <v>61599</v>
      </c>
      <c r="B91" s="43"/>
      <c r="C91" s="100"/>
      <c r="D91" s="43"/>
      <c r="E91" s="43"/>
      <c r="F91" s="43"/>
      <c r="G91" s="40"/>
      <c r="H91" s="43"/>
      <c r="I91" s="43"/>
      <c r="J91" s="43"/>
      <c r="K91" s="43"/>
      <c r="L91" s="43"/>
      <c r="M91" s="43"/>
      <c r="N91" s="43"/>
      <c r="O91" s="43"/>
      <c r="P91" s="43"/>
      <c r="Q91" s="76"/>
      <c r="R91" s="43"/>
      <c r="S91" s="45">
        <v>61599</v>
      </c>
      <c r="T91" s="43"/>
      <c r="U91" s="50"/>
      <c r="V91" s="43"/>
    </row>
    <row r="92" spans="1:22" ht="30" customHeight="1" x14ac:dyDescent="0.3">
      <c r="A92" s="42">
        <v>61599</v>
      </c>
      <c r="B92" s="80" t="s">
        <v>199</v>
      </c>
      <c r="C92" s="101">
        <v>45293</v>
      </c>
      <c r="D92" s="52">
        <v>20</v>
      </c>
      <c r="E92" s="39">
        <v>226875</v>
      </c>
      <c r="F92" s="39">
        <v>19075</v>
      </c>
      <c r="G92" s="40">
        <f>19075-F92</f>
        <v>0</v>
      </c>
      <c r="H92" s="39">
        <f>E92-F92</f>
        <v>207800</v>
      </c>
      <c r="I92" s="39">
        <f>H92*18%</f>
        <v>37404</v>
      </c>
      <c r="J92" s="39">
        <f>H92+I92</f>
        <v>245204</v>
      </c>
      <c r="K92" s="39">
        <f>H92*1%</f>
        <v>2078</v>
      </c>
      <c r="L92" s="39">
        <f>H92*5%</f>
        <v>10390</v>
      </c>
      <c r="M92" s="39">
        <f>H92*10%</f>
        <v>20780</v>
      </c>
      <c r="N92" s="39"/>
      <c r="O92" s="39"/>
      <c r="P92" s="39">
        <f>I92</f>
        <v>37404</v>
      </c>
      <c r="Q92" s="75"/>
      <c r="R92" s="39">
        <f>J92-SUM(K92:P92)</f>
        <v>174552</v>
      </c>
      <c r="S92" s="38"/>
      <c r="T92" s="39">
        <v>174552</v>
      </c>
      <c r="U92" s="41" t="s">
        <v>146</v>
      </c>
      <c r="V92" s="39">
        <f>SUM(R92:R93)-SUM(T92:T93)</f>
        <v>0</v>
      </c>
    </row>
    <row r="93" spans="1:22" ht="30" customHeight="1" x14ac:dyDescent="0.3">
      <c r="A93" s="42">
        <v>61599</v>
      </c>
      <c r="B93" s="39"/>
      <c r="C93" s="101"/>
      <c r="D93" s="52"/>
      <c r="E93" s="39"/>
      <c r="F93" s="39"/>
      <c r="G93" s="40"/>
      <c r="H93" s="39"/>
      <c r="I93" s="39"/>
      <c r="J93" s="39"/>
      <c r="K93" s="39"/>
      <c r="L93" s="39"/>
      <c r="M93" s="39"/>
      <c r="N93" s="39"/>
      <c r="O93" s="39"/>
      <c r="P93" s="39"/>
      <c r="Q93" s="75"/>
      <c r="R93" s="39"/>
      <c r="S93" s="38"/>
      <c r="T93" s="39"/>
      <c r="U93" s="41"/>
      <c r="V93" s="39"/>
    </row>
    <row r="94" spans="1:22" ht="30" customHeight="1" x14ac:dyDescent="0.3">
      <c r="A94" s="45">
        <v>63442</v>
      </c>
      <c r="B94" s="43"/>
      <c r="C94" s="100"/>
      <c r="D94" s="43"/>
      <c r="E94" s="43"/>
      <c r="F94" s="43"/>
      <c r="G94" s="40"/>
      <c r="H94" s="43"/>
      <c r="I94" s="43"/>
      <c r="J94" s="43"/>
      <c r="K94" s="43"/>
      <c r="L94" s="43"/>
      <c r="M94" s="43"/>
      <c r="N94" s="43"/>
      <c r="O94" s="43"/>
      <c r="P94" s="43"/>
      <c r="Q94" s="76"/>
      <c r="R94" s="43"/>
      <c r="S94" s="45">
        <f>A94</f>
        <v>63442</v>
      </c>
      <c r="T94" s="43"/>
      <c r="U94" s="50"/>
      <c r="V94" s="43"/>
    </row>
    <row r="95" spans="1:22" ht="30" customHeight="1" x14ac:dyDescent="0.3">
      <c r="A95" s="45">
        <v>63442</v>
      </c>
      <c r="B95" s="39" t="s">
        <v>200</v>
      </c>
      <c r="C95" s="101">
        <v>45546</v>
      </c>
      <c r="D95" s="52">
        <v>3</v>
      </c>
      <c r="E95" s="39">
        <v>62186</v>
      </c>
      <c r="F95" s="39"/>
      <c r="G95" s="40"/>
      <c r="H95" s="39">
        <f>E95-F95</f>
        <v>62186</v>
      </c>
      <c r="I95" s="39">
        <f>H95*18%</f>
        <v>11193.48</v>
      </c>
      <c r="J95" s="39">
        <f>H95+I95</f>
        <v>73379.48</v>
      </c>
      <c r="K95" s="39">
        <f>H95*1%</f>
        <v>621.86</v>
      </c>
      <c r="L95" s="39">
        <f>H95*5%</f>
        <v>3109.3</v>
      </c>
      <c r="M95" s="39">
        <v>0</v>
      </c>
      <c r="N95" s="39">
        <v>0</v>
      </c>
      <c r="O95" s="39"/>
      <c r="P95" s="39">
        <f>I95</f>
        <v>11193.48</v>
      </c>
      <c r="Q95" s="75"/>
      <c r="R95" s="39">
        <f>J95-SUM(K95:P95)</f>
        <v>58454.84</v>
      </c>
      <c r="S95" s="38"/>
      <c r="T95" s="39"/>
      <c r="U95" s="41"/>
      <c r="V95" s="39">
        <f>SUM(R95:R96)-SUM(T95:T96)</f>
        <v>58454.84</v>
      </c>
    </row>
    <row r="96" spans="1:22" ht="30" customHeight="1" x14ac:dyDescent="0.3">
      <c r="A96" s="45">
        <v>63442</v>
      </c>
      <c r="B96" s="39"/>
      <c r="C96" s="101"/>
      <c r="D96" s="52"/>
      <c r="E96" s="39"/>
      <c r="F96" s="39"/>
      <c r="G96" s="40"/>
      <c r="H96" s="39"/>
      <c r="I96" s="39"/>
      <c r="J96" s="39"/>
      <c r="K96" s="39"/>
      <c r="L96" s="39"/>
      <c r="M96" s="39"/>
      <c r="N96" s="39"/>
      <c r="O96" s="39"/>
      <c r="P96" s="39"/>
      <c r="Q96" s="75"/>
      <c r="R96" s="39"/>
      <c r="S96" s="38"/>
      <c r="T96" s="39"/>
      <c r="U96" s="41"/>
      <c r="V96" s="39"/>
    </row>
    <row r="97" spans="1:22" ht="30" customHeight="1" x14ac:dyDescent="0.3">
      <c r="A97" s="45">
        <v>65802</v>
      </c>
      <c r="B97" s="43"/>
      <c r="C97" s="100"/>
      <c r="D97" s="43"/>
      <c r="E97" s="43"/>
      <c r="F97" s="43"/>
      <c r="G97" s="40"/>
      <c r="H97" s="43"/>
      <c r="I97" s="43"/>
      <c r="J97" s="43"/>
      <c r="K97" s="43"/>
      <c r="L97" s="43"/>
      <c r="M97" s="43"/>
      <c r="N97" s="43"/>
      <c r="O97" s="43"/>
      <c r="P97" s="43"/>
      <c r="Q97" s="76"/>
      <c r="R97" s="43"/>
      <c r="S97" s="45">
        <v>65802</v>
      </c>
      <c r="T97" s="43"/>
      <c r="U97" s="50"/>
      <c r="V97" s="43"/>
    </row>
    <row r="98" spans="1:22" ht="30" customHeight="1" x14ac:dyDescent="0.3">
      <c r="A98" s="45">
        <v>65802</v>
      </c>
      <c r="B98" s="83" t="s">
        <v>201</v>
      </c>
      <c r="C98" s="101"/>
      <c r="D98" s="52"/>
      <c r="E98" s="39">
        <v>182069.25</v>
      </c>
      <c r="F98" s="39">
        <v>43872.5</v>
      </c>
      <c r="G98" s="40"/>
      <c r="H98" s="39">
        <f>E98-F98</f>
        <v>138196.75</v>
      </c>
      <c r="I98" s="39">
        <f>H98*18%</f>
        <v>24875.415000000001</v>
      </c>
      <c r="J98" s="39">
        <f>H98+I98</f>
        <v>163072.16500000001</v>
      </c>
      <c r="K98" s="39">
        <f>H98*1%</f>
        <v>1381.9675</v>
      </c>
      <c r="L98" s="39">
        <f>H98*5%</f>
        <v>6909.8375000000005</v>
      </c>
      <c r="M98" s="39">
        <f>H98*10%</f>
        <v>13819.675000000001</v>
      </c>
      <c r="N98" s="39">
        <f>H98*10%</f>
        <v>13819.675000000001</v>
      </c>
      <c r="O98" s="39"/>
      <c r="P98" s="39">
        <f>I98</f>
        <v>24875.415000000001</v>
      </c>
      <c r="Q98" s="75"/>
      <c r="R98" s="39">
        <f>J98-SUM(K98:P98)</f>
        <v>102265.595</v>
      </c>
      <c r="S98" s="38" t="s">
        <v>163</v>
      </c>
      <c r="T98" s="39">
        <v>74250</v>
      </c>
      <c r="U98" s="41" t="s">
        <v>162</v>
      </c>
      <c r="V98" s="39">
        <f>SUM(R98:R99)-SUM(T98:T99)</f>
        <v>28015.595000000001</v>
      </c>
    </row>
    <row r="99" spans="1:22" ht="30" customHeight="1" x14ac:dyDescent="0.3">
      <c r="A99" s="45">
        <v>65802</v>
      </c>
      <c r="B99" s="39"/>
      <c r="C99" s="101"/>
      <c r="D99" s="52"/>
      <c r="E99" s="39"/>
      <c r="F99" s="39"/>
      <c r="G99" s="40"/>
      <c r="H99" s="39"/>
      <c r="I99" s="39"/>
      <c r="J99" s="39"/>
      <c r="K99" s="39"/>
      <c r="L99" s="39"/>
      <c r="M99" s="39"/>
      <c r="N99" s="39"/>
      <c r="O99" s="39"/>
      <c r="P99" s="39"/>
      <c r="Q99" s="75"/>
      <c r="R99" s="39"/>
      <c r="S99" s="38"/>
      <c r="T99" s="39"/>
      <c r="U99" s="41"/>
      <c r="V99" s="39"/>
    </row>
    <row r="100" spans="1:22" ht="30" customHeight="1" x14ac:dyDescent="0.3">
      <c r="A100" s="45">
        <v>65803</v>
      </c>
      <c r="B100" s="43"/>
      <c r="C100" s="100"/>
      <c r="D100" s="43"/>
      <c r="E100" s="43"/>
      <c r="F100" s="43"/>
      <c r="G100" s="40"/>
      <c r="H100" s="43"/>
      <c r="I100" s="43"/>
      <c r="J100" s="43"/>
      <c r="K100" s="43"/>
      <c r="L100" s="43"/>
      <c r="M100" s="43"/>
      <c r="N100" s="43"/>
      <c r="O100" s="43"/>
      <c r="P100" s="43"/>
      <c r="Q100" s="76"/>
      <c r="R100" s="43"/>
      <c r="S100" s="45">
        <v>65803</v>
      </c>
      <c r="T100" s="43"/>
      <c r="U100" s="50"/>
      <c r="V100" s="43"/>
    </row>
    <row r="101" spans="1:22" ht="30" customHeight="1" x14ac:dyDescent="0.3">
      <c r="A101" s="38"/>
      <c r="B101" s="39"/>
      <c r="C101" s="101"/>
      <c r="D101" s="52"/>
      <c r="E101" s="39"/>
      <c r="F101" s="39"/>
      <c r="G101" s="40"/>
      <c r="H101" s="39"/>
      <c r="I101" s="39"/>
      <c r="J101" s="39"/>
      <c r="K101" s="39"/>
      <c r="L101" s="39"/>
      <c r="M101" s="39"/>
      <c r="N101" s="39"/>
      <c r="O101" s="39"/>
      <c r="P101" s="39"/>
      <c r="Q101" s="75"/>
      <c r="R101" s="39"/>
      <c r="S101" s="38"/>
      <c r="T101" s="39"/>
      <c r="U101" s="41"/>
      <c r="V101" s="39"/>
    </row>
    <row r="102" spans="1:22" ht="30" customHeight="1" x14ac:dyDescent="0.3">
      <c r="A102" s="38"/>
      <c r="B102" s="39"/>
      <c r="C102" s="101"/>
      <c r="D102" s="52"/>
      <c r="E102" s="39"/>
      <c r="F102" s="39"/>
      <c r="G102" s="40"/>
      <c r="H102" s="39"/>
      <c r="I102" s="39"/>
      <c r="J102" s="39"/>
      <c r="K102" s="39"/>
      <c r="L102" s="39"/>
      <c r="M102" s="39"/>
      <c r="N102" s="39"/>
      <c r="O102" s="39"/>
      <c r="P102" s="39"/>
      <c r="Q102" s="75"/>
      <c r="R102" s="39"/>
      <c r="S102" s="38"/>
      <c r="T102" s="39"/>
      <c r="U102" s="41"/>
      <c r="V102" s="39"/>
    </row>
    <row r="103" spans="1:22" ht="30" customHeight="1" x14ac:dyDescent="0.3">
      <c r="A103" s="45">
        <v>65805</v>
      </c>
      <c r="B103" s="43"/>
      <c r="C103" s="100"/>
      <c r="D103" s="43"/>
      <c r="E103" s="43"/>
      <c r="F103" s="43"/>
      <c r="G103" s="40"/>
      <c r="H103" s="43"/>
      <c r="I103" s="43"/>
      <c r="J103" s="43"/>
      <c r="K103" s="43"/>
      <c r="L103" s="43"/>
      <c r="M103" s="43"/>
      <c r="N103" s="43"/>
      <c r="O103" s="43"/>
      <c r="P103" s="43"/>
      <c r="Q103" s="76"/>
      <c r="R103" s="43"/>
      <c r="S103" s="45">
        <v>65805</v>
      </c>
      <c r="T103" s="43"/>
      <c r="U103" s="50"/>
      <c r="V103" s="43"/>
    </row>
    <row r="104" spans="1:22" ht="30" customHeight="1" x14ac:dyDescent="0.3">
      <c r="A104" s="38"/>
      <c r="B104" s="39"/>
      <c r="C104" s="101"/>
      <c r="D104" s="52"/>
      <c r="E104" s="39"/>
      <c r="F104" s="39"/>
      <c r="G104" s="40"/>
      <c r="H104" s="39"/>
      <c r="I104" s="39"/>
      <c r="J104" s="39"/>
      <c r="K104" s="39"/>
      <c r="L104" s="39"/>
      <c r="M104" s="39"/>
      <c r="N104" s="39"/>
      <c r="O104" s="39"/>
      <c r="P104" s="39"/>
      <c r="Q104" s="75"/>
      <c r="R104" s="39"/>
      <c r="S104" s="38"/>
      <c r="T104" s="39"/>
      <c r="U104" s="41"/>
      <c r="V104" s="39"/>
    </row>
    <row r="105" spans="1:22" ht="30" customHeight="1" x14ac:dyDescent="0.3">
      <c r="A105" s="38"/>
      <c r="B105" s="39"/>
      <c r="C105" s="101"/>
      <c r="D105" s="52"/>
      <c r="E105" s="39"/>
      <c r="F105" s="39"/>
      <c r="G105" s="40"/>
      <c r="H105" s="39"/>
      <c r="I105" s="39"/>
      <c r="J105" s="39"/>
      <c r="K105" s="39"/>
      <c r="L105" s="39"/>
      <c r="M105" s="39"/>
      <c r="N105" s="39"/>
      <c r="O105" s="39"/>
      <c r="P105" s="39"/>
      <c r="Q105" s="75"/>
      <c r="R105" s="39"/>
      <c r="S105" s="38"/>
      <c r="T105" s="39"/>
      <c r="U105" s="41"/>
      <c r="V105" s="39"/>
    </row>
    <row r="106" spans="1:22" ht="30" customHeight="1" thickBot="1" x14ac:dyDescent="0.35">
      <c r="A106" s="38"/>
      <c r="B106" s="39"/>
      <c r="C106" s="101"/>
      <c r="D106" s="52"/>
      <c r="E106" s="39"/>
      <c r="F106" s="39"/>
      <c r="G106" s="40"/>
      <c r="H106" s="39"/>
      <c r="I106" s="39"/>
      <c r="J106" s="39"/>
      <c r="K106" s="39"/>
      <c r="L106" s="39"/>
      <c r="M106" s="39"/>
      <c r="N106" s="39"/>
      <c r="O106" s="39"/>
      <c r="P106" s="39"/>
      <c r="Q106" s="75"/>
      <c r="R106" s="39"/>
      <c r="S106" s="38"/>
      <c r="T106" s="39"/>
      <c r="U106" s="41"/>
      <c r="V106" s="39"/>
    </row>
    <row r="107" spans="1:22" ht="30" customHeight="1" x14ac:dyDescent="0.3">
      <c r="A107" s="33"/>
      <c r="B107" s="61"/>
      <c r="C107" s="102"/>
      <c r="D107" s="61"/>
      <c r="E107" s="61"/>
      <c r="F107" s="61">
        <f>SUM(F8:F95)</f>
        <v>795957.97</v>
      </c>
      <c r="G107" s="62">
        <f>SUM(G8:G95)</f>
        <v>909022.12000000011</v>
      </c>
      <c r="H107" s="61"/>
      <c r="I107" s="61"/>
      <c r="J107" s="61"/>
      <c r="K107" s="33">
        <f t="shared" ref="K107:Q107" si="0">SUM(K8:K106)</f>
        <v>60247.296800000004</v>
      </c>
      <c r="L107" s="33">
        <f t="shared" si="0"/>
        <v>301229.484</v>
      </c>
      <c r="M107" s="33">
        <f t="shared" si="0"/>
        <v>207340.17799999999</v>
      </c>
      <c r="N107" s="33">
        <f t="shared" si="0"/>
        <v>189393.41999999998</v>
      </c>
      <c r="O107" s="33">
        <f t="shared" si="0"/>
        <v>39259.120000000003</v>
      </c>
      <c r="P107" s="33">
        <f t="shared" si="0"/>
        <v>1117129.8604000001</v>
      </c>
      <c r="Q107" s="33">
        <f t="shared" si="0"/>
        <v>30100</v>
      </c>
      <c r="R107" s="33">
        <f>SUM(R8:R106)</f>
        <v>6182924.2401999999</v>
      </c>
      <c r="S107" s="33"/>
      <c r="T107" s="33">
        <f>SUM(T8:T106)</f>
        <v>6488130</v>
      </c>
      <c r="U107" s="61"/>
      <c r="V107" s="33">
        <f>SUM(V8:V95)</f>
        <v>-333221.35480000009</v>
      </c>
    </row>
    <row r="108" spans="1:22" ht="30" customHeight="1" x14ac:dyDescent="0.3">
      <c r="A108" s="57"/>
      <c r="B108" s="39"/>
      <c r="C108" s="101"/>
      <c r="D108" s="39"/>
      <c r="E108" s="39"/>
      <c r="F108" s="109">
        <f>SUM(F107:G107)</f>
        <v>1704980.09</v>
      </c>
      <c r="G108" s="109"/>
      <c r="H108" s="39"/>
      <c r="I108" s="39"/>
      <c r="J108" s="39"/>
      <c r="K108" s="39"/>
      <c r="L108" s="39"/>
      <c r="M108" s="39"/>
      <c r="N108" s="39"/>
      <c r="O108" s="39"/>
      <c r="P108" s="39"/>
      <c r="Q108" s="75"/>
      <c r="R108" s="39"/>
      <c r="S108" s="57"/>
      <c r="T108" s="39"/>
      <c r="U108" s="39"/>
      <c r="V108" s="39"/>
    </row>
    <row r="109" spans="1:22" ht="30" customHeight="1" thickBot="1" x14ac:dyDescent="0.35">
      <c r="A109" s="58"/>
      <c r="B109" s="59"/>
      <c r="C109" s="97"/>
      <c r="D109" s="59"/>
      <c r="E109" s="59"/>
      <c r="F109" s="59"/>
      <c r="G109" s="60"/>
      <c r="H109" s="59"/>
      <c r="I109" s="59"/>
      <c r="J109" s="59"/>
      <c r="K109" s="59"/>
      <c r="L109" s="59"/>
      <c r="M109" s="59"/>
      <c r="N109" s="59"/>
      <c r="O109" s="59"/>
      <c r="P109" s="59"/>
      <c r="Q109" s="73"/>
      <c r="R109" s="59"/>
      <c r="S109" s="58"/>
      <c r="T109" s="58">
        <f>R107-T107</f>
        <v>-305205.75980000012</v>
      </c>
      <c r="U109" s="59"/>
      <c r="V109" s="58"/>
    </row>
    <row r="110" spans="1:22" ht="30" customHeight="1" thickBot="1" x14ac:dyDescent="0.35">
      <c r="A110" s="12"/>
      <c r="B110" s="6"/>
      <c r="C110" s="103"/>
      <c r="D110" s="6"/>
      <c r="E110" s="6"/>
      <c r="F110" s="6"/>
      <c r="H110" s="6"/>
      <c r="I110" s="6"/>
      <c r="J110" s="6"/>
      <c r="K110" s="6"/>
      <c r="L110" s="6"/>
      <c r="M110" s="6"/>
      <c r="N110" s="6"/>
      <c r="O110" s="6"/>
      <c r="P110" s="6"/>
      <c r="Q110" s="78"/>
      <c r="R110" s="6"/>
      <c r="S110" s="12"/>
      <c r="T110" s="6"/>
      <c r="U110" s="6"/>
      <c r="V110" s="6"/>
    </row>
    <row r="111" spans="1:22" ht="30" customHeight="1" thickBot="1" x14ac:dyDescent="0.35">
      <c r="A111" s="12"/>
      <c r="B111" s="6"/>
      <c r="C111" s="103"/>
      <c r="D111" s="12" t="s">
        <v>133</v>
      </c>
      <c r="E111" s="6"/>
      <c r="F111" s="6"/>
      <c r="H111" s="6"/>
      <c r="I111" s="6"/>
      <c r="J111" s="6"/>
      <c r="K111" s="6"/>
      <c r="L111" s="110" t="s">
        <v>16</v>
      </c>
      <c r="M111" s="111"/>
      <c r="N111" s="111"/>
      <c r="O111" s="112"/>
      <c r="P111" s="6"/>
      <c r="Q111" s="79"/>
      <c r="R111" s="6"/>
      <c r="S111" s="12"/>
      <c r="T111" s="6"/>
      <c r="U111" s="6"/>
      <c r="V111" s="6"/>
    </row>
    <row r="112" spans="1:22" ht="30" customHeight="1" thickBot="1" x14ac:dyDescent="0.35">
      <c r="A112" s="13"/>
      <c r="B112" s="28"/>
      <c r="C112" s="103"/>
      <c r="D112" s="13" t="s">
        <v>56</v>
      </c>
      <c r="E112" s="28">
        <v>559001</v>
      </c>
      <c r="F112" s="6"/>
      <c r="H112" s="6"/>
      <c r="I112" s="6"/>
      <c r="J112" s="6"/>
      <c r="K112" s="6"/>
      <c r="L112" s="113">
        <v>45735</v>
      </c>
      <c r="M112" s="114"/>
      <c r="N112" s="114"/>
      <c r="O112" s="115"/>
      <c r="P112" s="6"/>
      <c r="Q112" s="79"/>
      <c r="R112" s="6"/>
      <c r="S112" s="12"/>
      <c r="T112" s="6"/>
      <c r="U112" s="6"/>
      <c r="V112" s="6"/>
    </row>
    <row r="113" spans="1:22" ht="30" customHeight="1" thickBot="1" x14ac:dyDescent="0.35">
      <c r="A113" s="13"/>
      <c r="B113" s="28"/>
      <c r="C113" s="103"/>
      <c r="D113" s="13" t="s">
        <v>55</v>
      </c>
      <c r="E113" s="28">
        <v>420707</v>
      </c>
      <c r="F113" s="6"/>
      <c r="H113" s="6"/>
      <c r="I113" s="6"/>
      <c r="J113" s="6"/>
      <c r="K113" s="6"/>
      <c r="L113" s="105" t="s">
        <v>138</v>
      </c>
      <c r="M113" s="106"/>
      <c r="N113" s="105">
        <f>L107+M107+N107+O107</f>
        <v>737222.20199999993</v>
      </c>
      <c r="O113" s="106"/>
      <c r="P113" s="6"/>
      <c r="Q113" s="79"/>
      <c r="R113" s="6"/>
      <c r="S113" s="12"/>
      <c r="T113" s="6"/>
      <c r="U113" s="6"/>
      <c r="V113" s="6"/>
    </row>
    <row r="114" spans="1:22" ht="30" customHeight="1" thickBot="1" x14ac:dyDescent="0.35">
      <c r="A114" s="13"/>
      <c r="B114" s="29"/>
      <c r="C114" s="103"/>
      <c r="D114" s="13" t="s">
        <v>116</v>
      </c>
      <c r="E114" s="29">
        <f>E112+E113</f>
        <v>979708</v>
      </c>
      <c r="F114" s="6"/>
      <c r="H114" s="6"/>
      <c r="I114" s="6"/>
      <c r="J114" s="6"/>
      <c r="K114" s="6"/>
      <c r="L114" s="105" t="s">
        <v>139</v>
      </c>
      <c r="M114" s="106"/>
      <c r="N114" s="105">
        <f>T109</f>
        <v>-305205.75980000012</v>
      </c>
      <c r="O114" s="106"/>
      <c r="P114" s="6"/>
      <c r="Q114" s="79"/>
      <c r="R114" s="6"/>
      <c r="S114" s="12"/>
      <c r="T114" s="6"/>
      <c r="U114" s="6"/>
      <c r="V114" s="6"/>
    </row>
    <row r="115" spans="1:22" ht="30" customHeight="1" thickBot="1" x14ac:dyDescent="0.35">
      <c r="A115" s="13"/>
      <c r="B115" s="29"/>
      <c r="C115" s="103"/>
      <c r="D115" s="13"/>
      <c r="E115" s="29"/>
      <c r="F115" s="6"/>
      <c r="H115" s="6"/>
      <c r="I115" s="6"/>
      <c r="J115" s="6"/>
      <c r="K115" s="6"/>
      <c r="L115" s="105" t="s">
        <v>159</v>
      </c>
      <c r="M115" s="106"/>
      <c r="N115" s="105">
        <f>Q107</f>
        <v>30100</v>
      </c>
      <c r="O115" s="106"/>
      <c r="P115" s="6"/>
      <c r="Q115" s="79"/>
      <c r="R115" s="6"/>
      <c r="S115" s="12"/>
      <c r="T115" s="6"/>
      <c r="U115" s="6"/>
      <c r="V115" s="6"/>
    </row>
    <row r="116" spans="1:22" ht="30" customHeight="1" thickBot="1" x14ac:dyDescent="0.35">
      <c r="A116" s="13"/>
      <c r="B116" s="28"/>
      <c r="C116" s="103"/>
      <c r="D116" s="13" t="s">
        <v>117</v>
      </c>
      <c r="E116" s="28">
        <f>I107</f>
        <v>0</v>
      </c>
      <c r="F116" s="6"/>
      <c r="H116" s="6"/>
      <c r="I116" s="6"/>
      <c r="J116" s="6"/>
      <c r="K116" s="6"/>
      <c r="L116" s="105" t="s">
        <v>140</v>
      </c>
      <c r="M116" s="106"/>
      <c r="N116" s="107" t="s">
        <v>142</v>
      </c>
      <c r="O116" s="108"/>
      <c r="P116" s="6"/>
      <c r="Q116" s="79"/>
      <c r="R116" s="6"/>
      <c r="S116" s="12"/>
      <c r="T116" s="6"/>
      <c r="U116" s="6"/>
      <c r="V116" s="6"/>
    </row>
    <row r="117" spans="1:22" ht="30" customHeight="1" thickBot="1" x14ac:dyDescent="0.35">
      <c r="A117" s="13"/>
      <c r="B117" s="29"/>
      <c r="C117" s="103"/>
      <c r="D117" s="13" t="s">
        <v>118</v>
      </c>
      <c r="E117" s="29">
        <f>E116-E114</f>
        <v>-979708</v>
      </c>
      <c r="F117" s="6"/>
      <c r="H117" s="6"/>
      <c r="I117" s="6"/>
      <c r="J117" s="6"/>
      <c r="K117" s="6"/>
      <c r="L117" s="105" t="s">
        <v>141</v>
      </c>
      <c r="M117" s="106"/>
      <c r="N117" s="107">
        <f>P92+P84+P72+P50+P44+P66+P40+P95</f>
        <v>281120.0454</v>
      </c>
      <c r="O117" s="108"/>
      <c r="P117" s="6">
        <v>8</v>
      </c>
      <c r="Q117" s="79"/>
      <c r="R117" s="6"/>
      <c r="S117" s="12"/>
      <c r="T117" s="6"/>
      <c r="U117" s="6"/>
      <c r="V117" s="6"/>
    </row>
    <row r="118" spans="1:22" ht="30" customHeight="1" x14ac:dyDescent="0.3">
      <c r="A118" s="13"/>
      <c r="B118" s="30"/>
      <c r="C118" s="104" t="s">
        <v>202</v>
      </c>
      <c r="D118" s="13" t="s">
        <v>130</v>
      </c>
      <c r="E118" s="30">
        <v>-37936</v>
      </c>
      <c r="F118" s="6"/>
      <c r="H118" s="12" t="s">
        <v>134</v>
      </c>
      <c r="I118" s="6"/>
      <c r="J118" s="6"/>
      <c r="K118" s="6"/>
      <c r="L118" s="6"/>
      <c r="M118" s="6"/>
      <c r="N118" s="6"/>
      <c r="O118" s="6"/>
      <c r="P118" s="6"/>
      <c r="Q118" s="78"/>
      <c r="R118" s="6"/>
      <c r="S118" s="12"/>
      <c r="T118" s="6"/>
      <c r="U118" s="6"/>
      <c r="V118" s="6"/>
    </row>
    <row r="119" spans="1:22" ht="30" customHeight="1" x14ac:dyDescent="0.3">
      <c r="A119" s="12"/>
      <c r="B119" s="6"/>
      <c r="C119" s="103"/>
      <c r="D119" s="6"/>
      <c r="E119" s="6"/>
      <c r="F119" s="6"/>
      <c r="H119" s="6"/>
      <c r="I119" s="6"/>
      <c r="J119" s="6"/>
      <c r="K119" s="6"/>
      <c r="L119" s="6"/>
      <c r="M119" s="6"/>
      <c r="N119" s="6"/>
      <c r="O119" s="6"/>
      <c r="P119" s="6"/>
      <c r="Q119" s="78"/>
      <c r="R119" s="6"/>
      <c r="S119" s="12"/>
      <c r="T119" s="6"/>
      <c r="U119" s="6"/>
      <c r="V119" s="6"/>
    </row>
    <row r="120" spans="1:22" ht="30" customHeight="1" x14ac:dyDescent="0.3">
      <c r="A120" s="12"/>
      <c r="B120" s="6"/>
      <c r="C120" s="103"/>
      <c r="D120" s="6"/>
      <c r="E120" s="6"/>
      <c r="F120" s="104" t="s">
        <v>131</v>
      </c>
      <c r="H120" s="6"/>
      <c r="I120" s="6"/>
      <c r="J120" s="6"/>
      <c r="K120" s="6"/>
      <c r="L120" s="6"/>
      <c r="M120" s="6"/>
      <c r="N120" s="6"/>
      <c r="O120" s="6"/>
      <c r="P120" s="6"/>
      <c r="Q120" s="78"/>
      <c r="R120" s="6"/>
      <c r="S120" s="12"/>
      <c r="T120" s="6"/>
      <c r="U120" s="6"/>
      <c r="V120" s="6"/>
    </row>
    <row r="121" spans="1:22" ht="30" customHeight="1" x14ac:dyDescent="0.3">
      <c r="A121" s="12"/>
      <c r="B121" s="6"/>
      <c r="C121" s="103"/>
      <c r="D121" s="6"/>
      <c r="E121" s="6"/>
      <c r="F121" s="6"/>
      <c r="H121" s="6"/>
      <c r="I121" s="6"/>
      <c r="J121" s="6"/>
      <c r="K121" s="6"/>
      <c r="L121" s="6"/>
      <c r="M121" s="6"/>
      <c r="N121" s="6"/>
      <c r="O121" s="6"/>
      <c r="P121" s="6"/>
      <c r="Q121" s="78"/>
      <c r="R121" s="6"/>
      <c r="S121" s="12"/>
      <c r="T121" s="6"/>
      <c r="U121" s="6"/>
      <c r="V121" s="6"/>
    </row>
    <row r="122" spans="1:22" ht="30" customHeight="1" x14ac:dyDescent="0.3">
      <c r="A122" s="12"/>
      <c r="B122" s="6"/>
      <c r="C122" s="103"/>
      <c r="D122" s="6"/>
      <c r="E122" s="6"/>
      <c r="F122" s="6"/>
      <c r="H122" s="6"/>
      <c r="I122" s="6"/>
      <c r="J122" s="6"/>
      <c r="K122" s="6"/>
      <c r="L122" s="6"/>
      <c r="M122" s="6"/>
      <c r="N122" s="6"/>
      <c r="O122" s="6"/>
      <c r="P122" s="6"/>
      <c r="Q122" s="78"/>
      <c r="R122" s="6"/>
      <c r="S122" s="12"/>
      <c r="T122" s="6"/>
      <c r="U122" s="6"/>
      <c r="V122" s="6"/>
    </row>
    <row r="123" spans="1:22" ht="30" customHeight="1" x14ac:dyDescent="0.3">
      <c r="A123" s="12"/>
      <c r="B123" s="6"/>
      <c r="C123" s="103"/>
      <c r="D123" s="6"/>
      <c r="E123" s="6"/>
      <c r="F123" s="6"/>
      <c r="H123" s="6"/>
      <c r="I123" s="6"/>
      <c r="J123" s="6"/>
      <c r="K123" s="6"/>
      <c r="L123" s="6"/>
      <c r="M123" s="6"/>
      <c r="N123" s="6"/>
      <c r="O123" s="6"/>
      <c r="P123" s="6"/>
      <c r="Q123" s="78"/>
      <c r="R123" s="6"/>
      <c r="S123" s="12"/>
      <c r="T123" s="6"/>
      <c r="U123" s="6"/>
      <c r="V123" s="6"/>
    </row>
    <row r="124" spans="1:22" ht="30" customHeight="1" x14ac:dyDescent="0.3">
      <c r="A124" s="12"/>
      <c r="B124" s="6"/>
      <c r="C124" s="103"/>
      <c r="D124" s="6"/>
      <c r="E124" s="6"/>
      <c r="F124" s="6"/>
      <c r="H124" s="6"/>
      <c r="I124" s="6"/>
      <c r="J124" s="6"/>
      <c r="K124" s="6"/>
      <c r="L124" s="6"/>
      <c r="M124" s="6"/>
      <c r="N124" s="6"/>
      <c r="O124" s="6"/>
      <c r="P124" s="6"/>
      <c r="Q124" s="78"/>
      <c r="R124" s="6"/>
      <c r="S124" s="12"/>
      <c r="T124" s="6"/>
      <c r="U124" s="6"/>
      <c r="V124" s="6"/>
    </row>
    <row r="125" spans="1:22" ht="30" customHeight="1" x14ac:dyDescent="0.3">
      <c r="A125" s="12"/>
      <c r="B125" s="6"/>
      <c r="C125" s="103"/>
      <c r="D125" s="6"/>
      <c r="E125" s="6"/>
      <c r="F125" s="6"/>
      <c r="H125" s="6"/>
      <c r="I125" s="6"/>
      <c r="J125" s="6"/>
      <c r="K125" s="6"/>
      <c r="L125" s="6"/>
      <c r="M125" s="6"/>
      <c r="N125" s="6"/>
      <c r="O125" s="6"/>
      <c r="P125" s="6"/>
      <c r="Q125" s="78"/>
      <c r="R125" s="6"/>
      <c r="S125" s="12"/>
      <c r="T125" s="6"/>
      <c r="U125" s="6"/>
      <c r="V125" s="6"/>
    </row>
    <row r="126" spans="1:22" ht="30" customHeight="1" x14ac:dyDescent="0.3">
      <c r="A126" s="12"/>
      <c r="B126" s="6"/>
      <c r="C126" s="103"/>
      <c r="D126" s="6"/>
      <c r="E126" s="6"/>
      <c r="F126" s="6"/>
      <c r="H126" s="6"/>
      <c r="I126" s="6"/>
      <c r="J126" s="6"/>
      <c r="K126" s="6"/>
      <c r="L126" s="6"/>
      <c r="M126" s="6"/>
      <c r="N126" s="6"/>
      <c r="O126" s="6"/>
      <c r="P126" s="6"/>
      <c r="Q126" s="78"/>
      <c r="R126" s="6"/>
      <c r="S126" s="12"/>
      <c r="T126" s="6"/>
      <c r="U126" s="6"/>
      <c r="V126" s="6"/>
    </row>
    <row r="127" spans="1:22" ht="30" customHeight="1" x14ac:dyDescent="0.3">
      <c r="A127" s="12"/>
      <c r="B127" s="6"/>
      <c r="C127" s="103"/>
      <c r="D127" s="6"/>
      <c r="E127" s="6"/>
      <c r="F127" s="6"/>
      <c r="H127" s="6"/>
      <c r="I127" s="6"/>
      <c r="J127" s="6"/>
      <c r="K127" s="6"/>
      <c r="L127" s="6"/>
      <c r="M127" s="6"/>
      <c r="N127" s="6"/>
      <c r="O127" s="6"/>
      <c r="P127" s="6"/>
      <c r="Q127" s="78"/>
      <c r="R127" s="6"/>
      <c r="S127" s="12"/>
      <c r="T127" s="6"/>
      <c r="U127" s="6"/>
      <c r="V127" s="6"/>
    </row>
    <row r="128" spans="1:22" ht="30" customHeight="1" x14ac:dyDescent="0.3">
      <c r="A128" s="12"/>
      <c r="B128" s="6"/>
      <c r="C128" s="103"/>
      <c r="D128" s="6"/>
      <c r="E128" s="6"/>
      <c r="F128" s="6"/>
      <c r="H128" s="6"/>
      <c r="I128" s="6"/>
      <c r="J128" s="6"/>
      <c r="K128" s="6"/>
      <c r="L128" s="6"/>
      <c r="M128" s="6"/>
      <c r="N128" s="6"/>
      <c r="O128" s="6"/>
      <c r="P128" s="6"/>
      <c r="Q128" s="78"/>
      <c r="R128" s="6"/>
      <c r="S128" s="12"/>
      <c r="T128" s="6"/>
      <c r="U128" s="6"/>
      <c r="V128" s="6"/>
    </row>
    <row r="129" spans="1:22" ht="30" customHeight="1" x14ac:dyDescent="0.3">
      <c r="A129" s="12"/>
      <c r="B129" s="6"/>
      <c r="C129" s="103"/>
      <c r="D129" s="6"/>
      <c r="E129" s="6"/>
      <c r="F129" s="6"/>
      <c r="H129" s="6"/>
      <c r="I129" s="6"/>
      <c r="J129" s="6"/>
      <c r="K129" s="6"/>
      <c r="L129" s="6"/>
      <c r="M129" s="6"/>
      <c r="N129" s="6"/>
      <c r="O129" s="6"/>
      <c r="P129" s="6"/>
      <c r="Q129" s="78"/>
      <c r="R129" s="6"/>
      <c r="S129" s="12"/>
      <c r="T129" s="6"/>
      <c r="U129" s="6"/>
      <c r="V129" s="6"/>
    </row>
    <row r="130" spans="1:22" ht="30" customHeight="1" x14ac:dyDescent="0.3">
      <c r="A130" s="12"/>
      <c r="B130" s="6"/>
      <c r="C130" s="103"/>
      <c r="D130" s="6"/>
      <c r="E130" s="6"/>
      <c r="F130" s="6"/>
      <c r="H130" s="6"/>
      <c r="I130" s="6"/>
      <c r="J130" s="6"/>
      <c r="K130" s="6"/>
      <c r="L130" s="6"/>
      <c r="M130" s="6"/>
      <c r="N130" s="6"/>
      <c r="O130" s="6"/>
      <c r="P130" s="6"/>
      <c r="Q130" s="78"/>
      <c r="R130" s="6"/>
      <c r="S130" s="12"/>
      <c r="T130" s="6"/>
      <c r="U130" s="6"/>
      <c r="V130" s="6"/>
    </row>
    <row r="131" spans="1:22" ht="30" customHeight="1" x14ac:dyDescent="0.3">
      <c r="A131" s="12"/>
      <c r="B131" s="6"/>
      <c r="C131" s="103"/>
      <c r="D131" s="6"/>
      <c r="E131" s="6"/>
      <c r="F131" s="6"/>
      <c r="H131" s="6"/>
      <c r="I131" s="6"/>
      <c r="J131" s="6"/>
      <c r="K131" s="6"/>
      <c r="L131" s="6"/>
      <c r="M131" s="6"/>
      <c r="N131" s="6"/>
      <c r="O131" s="6"/>
      <c r="P131" s="6"/>
      <c r="Q131" s="78"/>
      <c r="R131" s="6"/>
      <c r="S131" s="12"/>
      <c r="T131" s="6"/>
      <c r="U131" s="6"/>
      <c r="V131" s="6"/>
    </row>
    <row r="132" spans="1:22" ht="30" customHeight="1" x14ac:dyDescent="0.3">
      <c r="A132" s="12"/>
      <c r="B132" s="6"/>
      <c r="C132" s="103"/>
      <c r="D132" s="6"/>
      <c r="E132" s="6"/>
      <c r="F132" s="6"/>
      <c r="H132" s="6"/>
      <c r="I132" s="6"/>
      <c r="J132" s="6"/>
      <c r="K132" s="6"/>
      <c r="L132" s="6"/>
      <c r="M132" s="6"/>
      <c r="N132" s="6"/>
      <c r="O132" s="6"/>
      <c r="P132" s="6"/>
      <c r="Q132" s="78"/>
      <c r="R132" s="6"/>
      <c r="S132" s="12"/>
      <c r="T132" s="6"/>
      <c r="U132" s="6"/>
      <c r="V132" s="6"/>
    </row>
    <row r="133" spans="1:22" ht="30" customHeight="1" x14ac:dyDescent="0.3">
      <c r="A133" s="12"/>
      <c r="B133" s="6"/>
      <c r="C133" s="103"/>
      <c r="D133" s="6"/>
      <c r="E133" s="6"/>
      <c r="F133" s="6"/>
      <c r="H133" s="6"/>
      <c r="I133" s="6"/>
      <c r="J133" s="6"/>
      <c r="K133" s="6"/>
      <c r="L133" s="6"/>
      <c r="M133" s="6"/>
      <c r="N133" s="6"/>
      <c r="O133" s="6"/>
      <c r="P133" s="6"/>
      <c r="Q133" s="78"/>
      <c r="R133" s="6"/>
      <c r="S133" s="12"/>
      <c r="T133" s="6"/>
      <c r="U133" s="6"/>
      <c r="V133" s="6"/>
    </row>
    <row r="134" spans="1:22" ht="30" customHeight="1" x14ac:dyDescent="0.3">
      <c r="A134" s="12"/>
      <c r="B134" s="6"/>
      <c r="C134" s="103"/>
      <c r="D134" s="6"/>
      <c r="E134" s="6"/>
      <c r="F134" s="6"/>
      <c r="H134" s="6"/>
      <c r="I134" s="6"/>
      <c r="J134" s="6"/>
      <c r="K134" s="6"/>
      <c r="L134" s="6"/>
      <c r="M134" s="6"/>
      <c r="N134" s="6"/>
      <c r="O134" s="6"/>
      <c r="P134" s="6"/>
      <c r="Q134" s="78"/>
      <c r="R134" s="6"/>
      <c r="S134" s="12"/>
      <c r="T134" s="6"/>
      <c r="U134" s="6"/>
      <c r="V134" s="6"/>
    </row>
    <row r="135" spans="1:22" ht="30" customHeight="1" x14ac:dyDescent="0.3">
      <c r="A135" s="12"/>
      <c r="B135" s="6"/>
      <c r="C135" s="103"/>
      <c r="D135" s="6"/>
      <c r="E135" s="6"/>
      <c r="F135" s="6"/>
      <c r="H135" s="6"/>
      <c r="I135" s="6"/>
      <c r="J135" s="6"/>
      <c r="K135" s="6"/>
      <c r="L135" s="6"/>
      <c r="M135" s="6"/>
      <c r="N135" s="6"/>
      <c r="O135" s="6"/>
      <c r="P135" s="6"/>
      <c r="Q135" s="78"/>
      <c r="R135" s="6"/>
      <c r="S135" s="12"/>
      <c r="T135" s="6"/>
      <c r="U135" s="6"/>
      <c r="V135" s="6"/>
    </row>
    <row r="136" spans="1:22" ht="30" customHeight="1" x14ac:dyDescent="0.3">
      <c r="A136" s="12"/>
      <c r="B136" s="6"/>
      <c r="C136" s="103"/>
      <c r="D136" s="6"/>
      <c r="E136" s="6"/>
      <c r="F136" s="6"/>
      <c r="H136" s="6"/>
      <c r="I136" s="6"/>
      <c r="J136" s="6"/>
      <c r="K136" s="6"/>
      <c r="L136" s="6"/>
      <c r="M136" s="6"/>
      <c r="N136" s="6"/>
      <c r="O136" s="6"/>
      <c r="P136" s="6"/>
      <c r="Q136" s="78"/>
      <c r="R136" s="6"/>
      <c r="S136" s="12"/>
      <c r="T136" s="6"/>
      <c r="U136" s="6"/>
      <c r="V136" s="6"/>
    </row>
    <row r="137" spans="1:22" ht="30" customHeight="1" x14ac:dyDescent="0.3">
      <c r="A137" s="12"/>
      <c r="B137" s="6"/>
      <c r="C137" s="103"/>
      <c r="D137" s="6"/>
      <c r="E137" s="6"/>
      <c r="F137" s="6"/>
      <c r="H137" s="6"/>
      <c r="I137" s="6"/>
      <c r="J137" s="6"/>
      <c r="K137" s="6"/>
      <c r="L137" s="6"/>
      <c r="M137" s="6"/>
      <c r="N137" s="6"/>
      <c r="O137" s="6"/>
      <c r="P137" s="6"/>
      <c r="Q137" s="78"/>
      <c r="R137" s="6"/>
      <c r="S137" s="12"/>
      <c r="T137" s="6"/>
      <c r="U137" s="6"/>
      <c r="V137" s="6"/>
    </row>
    <row r="138" spans="1:22" ht="30" customHeight="1" x14ac:dyDescent="0.3">
      <c r="A138" s="12"/>
      <c r="B138" s="6"/>
      <c r="C138" s="103"/>
      <c r="D138" s="6"/>
      <c r="E138" s="6"/>
      <c r="F138" s="6"/>
      <c r="H138" s="6"/>
      <c r="I138" s="6"/>
      <c r="J138" s="6"/>
      <c r="K138" s="6"/>
      <c r="L138" s="6"/>
      <c r="M138" s="6"/>
      <c r="N138" s="6"/>
      <c r="O138" s="6"/>
      <c r="P138" s="6"/>
      <c r="Q138" s="78"/>
      <c r="R138" s="6"/>
      <c r="S138" s="12"/>
      <c r="T138" s="6"/>
      <c r="U138" s="6"/>
      <c r="V138" s="6"/>
    </row>
    <row r="139" spans="1:22" ht="30" customHeight="1" x14ac:dyDescent="0.3">
      <c r="A139" s="12"/>
      <c r="B139" s="6"/>
      <c r="C139" s="103"/>
      <c r="D139" s="6"/>
      <c r="E139" s="6"/>
      <c r="F139" s="6"/>
      <c r="H139" s="6"/>
      <c r="I139" s="6"/>
      <c r="J139" s="6"/>
      <c r="K139" s="6"/>
      <c r="L139" s="6"/>
      <c r="M139" s="6"/>
      <c r="N139" s="6"/>
      <c r="O139" s="6"/>
      <c r="P139" s="6"/>
      <c r="Q139" s="78"/>
      <c r="R139" s="6"/>
      <c r="S139" s="12"/>
      <c r="T139" s="6"/>
      <c r="U139" s="6"/>
      <c r="V139" s="6"/>
    </row>
    <row r="140" spans="1:22" ht="30" customHeight="1" x14ac:dyDescent="0.3">
      <c r="A140" s="12"/>
      <c r="B140" s="6"/>
      <c r="C140" s="103"/>
      <c r="D140" s="6"/>
      <c r="E140" s="6"/>
      <c r="F140" s="6"/>
      <c r="H140" s="6"/>
      <c r="I140" s="6"/>
      <c r="J140" s="6"/>
      <c r="K140" s="6"/>
      <c r="L140" s="6"/>
      <c r="M140" s="6"/>
      <c r="N140" s="6"/>
      <c r="O140" s="6"/>
      <c r="P140" s="6"/>
      <c r="Q140" s="78"/>
      <c r="R140" s="6"/>
      <c r="S140" s="12"/>
      <c r="T140" s="6"/>
      <c r="U140" s="6"/>
      <c r="V140" s="6"/>
    </row>
    <row r="141" spans="1:22" ht="30" customHeight="1" x14ac:dyDescent="0.3">
      <c r="A141" s="12"/>
      <c r="B141" s="6"/>
      <c r="C141" s="103"/>
      <c r="D141" s="6"/>
      <c r="E141" s="6"/>
      <c r="F141" s="6"/>
      <c r="H141" s="6"/>
      <c r="I141" s="6"/>
      <c r="J141" s="6"/>
      <c r="K141" s="6"/>
      <c r="L141" s="6"/>
      <c r="M141" s="6"/>
      <c r="N141" s="6"/>
      <c r="O141" s="6"/>
      <c r="P141" s="6"/>
      <c r="Q141" s="78"/>
      <c r="R141" s="6"/>
      <c r="S141" s="12"/>
      <c r="T141" s="6"/>
      <c r="U141" s="6"/>
      <c r="V141" s="6"/>
    </row>
    <row r="142" spans="1:22" ht="30" customHeight="1" x14ac:dyDescent="0.3">
      <c r="A142" s="12"/>
      <c r="B142" s="6"/>
      <c r="C142" s="103"/>
      <c r="D142" s="6"/>
      <c r="E142" s="6"/>
      <c r="F142" s="6"/>
      <c r="H142" s="6"/>
      <c r="I142" s="6"/>
      <c r="J142" s="6"/>
      <c r="K142" s="6"/>
      <c r="L142" s="6"/>
      <c r="M142" s="6"/>
      <c r="N142" s="6"/>
      <c r="O142" s="6"/>
      <c r="P142" s="6"/>
      <c r="Q142" s="78"/>
      <c r="R142" s="6"/>
      <c r="S142" s="12"/>
      <c r="T142" s="6"/>
      <c r="U142" s="6"/>
      <c r="V142" s="6"/>
    </row>
    <row r="143" spans="1:22" ht="30" customHeight="1" x14ac:dyDescent="0.3">
      <c r="A143" s="12"/>
      <c r="B143" s="6"/>
      <c r="C143" s="103"/>
      <c r="D143" s="6"/>
      <c r="E143" s="6"/>
      <c r="F143" s="6"/>
      <c r="H143" s="6"/>
      <c r="I143" s="6"/>
      <c r="J143" s="6"/>
      <c r="K143" s="6"/>
      <c r="L143" s="6"/>
      <c r="M143" s="6"/>
      <c r="N143" s="6"/>
      <c r="O143" s="6"/>
      <c r="P143" s="6"/>
      <c r="Q143" s="78"/>
      <c r="R143" s="6"/>
      <c r="S143" s="12"/>
      <c r="T143" s="6"/>
      <c r="U143" s="6"/>
      <c r="V143" s="6"/>
    </row>
    <row r="144" spans="1:22" ht="30" customHeight="1" x14ac:dyDescent="0.3">
      <c r="A144" s="12"/>
      <c r="B144" s="6"/>
      <c r="C144" s="103"/>
      <c r="D144" s="6"/>
      <c r="E144" s="6"/>
      <c r="F144" s="6"/>
      <c r="H144" s="6"/>
      <c r="I144" s="6"/>
      <c r="J144" s="6"/>
      <c r="K144" s="6"/>
      <c r="L144" s="6"/>
      <c r="M144" s="6"/>
      <c r="N144" s="6"/>
      <c r="O144" s="6"/>
      <c r="P144" s="6"/>
      <c r="Q144" s="78"/>
      <c r="R144" s="6"/>
      <c r="S144" s="12"/>
      <c r="T144" s="6"/>
      <c r="U144" s="6"/>
      <c r="V144" s="6"/>
    </row>
    <row r="145" spans="1:22" ht="30" customHeight="1" x14ac:dyDescent="0.3">
      <c r="A145" s="12"/>
      <c r="B145" s="6"/>
      <c r="C145" s="103"/>
      <c r="D145" s="6"/>
      <c r="E145" s="6"/>
      <c r="F145" s="6"/>
      <c r="H145" s="6"/>
      <c r="I145" s="6"/>
      <c r="J145" s="6"/>
      <c r="K145" s="6"/>
      <c r="L145" s="6"/>
      <c r="M145" s="6"/>
      <c r="N145" s="6"/>
      <c r="O145" s="6"/>
      <c r="P145" s="6"/>
      <c r="Q145" s="78"/>
      <c r="R145" s="6"/>
      <c r="S145" s="12"/>
      <c r="T145" s="6"/>
      <c r="U145" s="6"/>
      <c r="V145" s="6"/>
    </row>
    <row r="146" spans="1:22" ht="30" customHeight="1" x14ac:dyDescent="0.3">
      <c r="A146" s="12"/>
      <c r="B146" s="6"/>
      <c r="C146" s="103"/>
      <c r="D146" s="6"/>
      <c r="E146" s="6"/>
      <c r="F146" s="6"/>
      <c r="H146" s="6"/>
      <c r="I146" s="6"/>
      <c r="J146" s="6"/>
      <c r="K146" s="6"/>
      <c r="L146" s="6"/>
      <c r="M146" s="6"/>
      <c r="N146" s="6"/>
      <c r="O146" s="6"/>
      <c r="P146" s="6"/>
      <c r="Q146" s="78"/>
      <c r="R146" s="6"/>
      <c r="S146" s="12"/>
      <c r="T146" s="6"/>
      <c r="U146" s="6"/>
      <c r="V146" s="6"/>
    </row>
    <row r="147" spans="1:22" ht="30" customHeight="1" x14ac:dyDescent="0.3">
      <c r="A147" s="12"/>
      <c r="B147" s="6"/>
      <c r="C147" s="103"/>
      <c r="D147" s="6"/>
      <c r="E147" s="6"/>
      <c r="F147" s="6"/>
      <c r="H147" s="6"/>
      <c r="I147" s="6"/>
      <c r="J147" s="6"/>
      <c r="K147" s="6"/>
      <c r="L147" s="6"/>
      <c r="M147" s="6"/>
      <c r="N147" s="6"/>
      <c r="O147" s="6"/>
      <c r="P147" s="6"/>
      <c r="Q147" s="78"/>
      <c r="R147" s="6"/>
      <c r="S147" s="12"/>
      <c r="T147" s="6"/>
      <c r="U147" s="6"/>
      <c r="V147" s="6"/>
    </row>
    <row r="148" spans="1:22" ht="30" customHeight="1" x14ac:dyDescent="0.3">
      <c r="A148" s="12"/>
      <c r="B148" s="6"/>
      <c r="C148" s="103"/>
      <c r="D148" s="6"/>
      <c r="E148" s="6"/>
      <c r="F148" s="6"/>
      <c r="H148" s="6"/>
      <c r="I148" s="6"/>
      <c r="J148" s="6"/>
      <c r="K148" s="6"/>
      <c r="L148" s="6"/>
      <c r="M148" s="6"/>
      <c r="N148" s="6"/>
      <c r="O148" s="6"/>
      <c r="P148" s="6"/>
      <c r="Q148" s="78"/>
      <c r="R148" s="6"/>
      <c r="S148" s="12"/>
      <c r="T148" s="6"/>
      <c r="U148" s="6"/>
      <c r="V148" s="6"/>
    </row>
    <row r="149" spans="1:22" ht="30" customHeight="1" x14ac:dyDescent="0.3">
      <c r="A149" s="12"/>
      <c r="B149" s="6"/>
      <c r="C149" s="103"/>
      <c r="D149" s="6"/>
      <c r="E149" s="6"/>
      <c r="F149" s="6"/>
      <c r="H149" s="6"/>
      <c r="I149" s="6"/>
      <c r="J149" s="6"/>
      <c r="K149" s="6"/>
      <c r="L149" s="6"/>
      <c r="M149" s="6"/>
      <c r="N149" s="6"/>
      <c r="O149" s="6"/>
      <c r="P149" s="6"/>
      <c r="Q149" s="78"/>
      <c r="R149" s="6"/>
      <c r="S149" s="12"/>
      <c r="T149" s="6"/>
      <c r="U149" s="6"/>
      <c r="V149" s="6"/>
    </row>
    <row r="150" spans="1:22" ht="30" customHeight="1" x14ac:dyDescent="0.3">
      <c r="A150" s="12"/>
      <c r="B150" s="6"/>
      <c r="C150" s="103"/>
      <c r="D150" s="6"/>
      <c r="E150" s="6"/>
      <c r="F150" s="6"/>
      <c r="H150" s="6"/>
      <c r="I150" s="6"/>
      <c r="J150" s="6"/>
      <c r="K150" s="6"/>
      <c r="L150" s="6"/>
      <c r="M150" s="6"/>
      <c r="N150" s="6"/>
      <c r="O150" s="6"/>
      <c r="P150" s="6"/>
      <c r="Q150" s="78"/>
      <c r="R150" s="6"/>
      <c r="S150" s="12"/>
      <c r="T150" s="6"/>
      <c r="U150" s="6"/>
      <c r="V150" s="6"/>
    </row>
    <row r="151" spans="1:22" ht="30" customHeight="1" x14ac:dyDescent="0.3">
      <c r="A151" s="12"/>
      <c r="B151" s="6"/>
      <c r="C151" s="103"/>
      <c r="D151" s="6"/>
      <c r="E151" s="6"/>
      <c r="F151" s="6"/>
      <c r="H151" s="6"/>
      <c r="I151" s="6"/>
      <c r="J151" s="6"/>
      <c r="K151" s="6"/>
      <c r="L151" s="6"/>
      <c r="M151" s="6"/>
      <c r="N151" s="6"/>
      <c r="O151" s="6"/>
      <c r="P151" s="6"/>
      <c r="Q151" s="78"/>
      <c r="R151" s="6"/>
      <c r="S151" s="12"/>
      <c r="T151" s="6"/>
      <c r="U151" s="6"/>
      <c r="V151" s="6"/>
    </row>
    <row r="152" spans="1:22" ht="30" customHeight="1" x14ac:dyDescent="0.3">
      <c r="A152" s="12"/>
      <c r="B152" s="6"/>
      <c r="C152" s="103"/>
      <c r="D152" s="6"/>
      <c r="E152" s="6"/>
      <c r="F152" s="6"/>
      <c r="H152" s="6"/>
      <c r="I152" s="6"/>
      <c r="J152" s="6"/>
      <c r="K152" s="6"/>
      <c r="L152" s="6"/>
      <c r="M152" s="6"/>
      <c r="N152" s="6"/>
      <c r="O152" s="6"/>
      <c r="P152" s="6"/>
      <c r="Q152" s="78"/>
      <c r="R152" s="6"/>
      <c r="S152" s="12"/>
      <c r="T152" s="6"/>
      <c r="U152" s="6"/>
      <c r="V152" s="6"/>
    </row>
    <row r="153" spans="1:22" ht="30" customHeight="1" x14ac:dyDescent="0.3">
      <c r="A153" s="12"/>
      <c r="B153" s="6"/>
      <c r="C153" s="103"/>
      <c r="D153" s="6"/>
      <c r="E153" s="6"/>
      <c r="F153" s="6"/>
      <c r="H153" s="6"/>
      <c r="I153" s="6"/>
      <c r="J153" s="6"/>
      <c r="K153" s="6"/>
      <c r="L153" s="6"/>
      <c r="M153" s="6"/>
      <c r="N153" s="6"/>
      <c r="O153" s="6"/>
      <c r="P153" s="6"/>
      <c r="Q153" s="78"/>
      <c r="R153" s="6"/>
      <c r="S153" s="12"/>
      <c r="T153" s="6"/>
      <c r="U153" s="6"/>
      <c r="V153" s="6"/>
    </row>
    <row r="154" spans="1:22" ht="30" customHeight="1" x14ac:dyDescent="0.3">
      <c r="A154" s="12"/>
      <c r="B154" s="6"/>
      <c r="C154" s="103"/>
      <c r="D154" s="6"/>
      <c r="E154" s="6"/>
      <c r="F154" s="6"/>
      <c r="H154" s="6"/>
      <c r="I154" s="6"/>
      <c r="J154" s="6"/>
      <c r="K154" s="6"/>
      <c r="L154" s="6"/>
      <c r="M154" s="6"/>
      <c r="N154" s="6"/>
      <c r="O154" s="6"/>
      <c r="P154" s="6"/>
      <c r="Q154" s="78"/>
      <c r="R154" s="6"/>
      <c r="S154" s="12"/>
      <c r="T154" s="6"/>
      <c r="U154" s="6"/>
      <c r="V154" s="6"/>
    </row>
    <row r="155" spans="1:22" ht="30" customHeight="1" x14ac:dyDescent="0.3">
      <c r="A155" s="12"/>
      <c r="B155" s="6"/>
      <c r="C155" s="103"/>
      <c r="D155" s="6"/>
      <c r="E155" s="6"/>
      <c r="F155" s="6"/>
      <c r="H155" s="6"/>
      <c r="I155" s="6"/>
      <c r="J155" s="6"/>
      <c r="K155" s="6"/>
      <c r="L155" s="6"/>
      <c r="M155" s="6"/>
      <c r="N155" s="6"/>
      <c r="O155" s="6"/>
      <c r="P155" s="6"/>
      <c r="Q155" s="78"/>
      <c r="R155" s="6"/>
      <c r="S155" s="12"/>
      <c r="T155" s="6"/>
      <c r="U155" s="6"/>
      <c r="V155" s="6"/>
    </row>
    <row r="156" spans="1:22" ht="30" customHeight="1" x14ac:dyDescent="0.3">
      <c r="A156" s="12"/>
      <c r="B156" s="6"/>
      <c r="C156" s="103"/>
      <c r="D156" s="6"/>
      <c r="E156" s="6"/>
      <c r="F156" s="6"/>
      <c r="H156" s="6"/>
      <c r="I156" s="6"/>
      <c r="J156" s="6"/>
      <c r="K156" s="6"/>
      <c r="L156" s="6"/>
      <c r="M156" s="6"/>
      <c r="N156" s="6"/>
      <c r="O156" s="6"/>
      <c r="P156" s="6"/>
      <c r="Q156" s="78"/>
      <c r="R156" s="6"/>
      <c r="S156" s="12"/>
      <c r="T156" s="6"/>
      <c r="U156" s="6"/>
      <c r="V156" s="6"/>
    </row>
    <row r="157" spans="1:22" ht="30" customHeight="1" x14ac:dyDescent="0.3">
      <c r="A157" s="12"/>
      <c r="B157" s="6"/>
      <c r="C157" s="103"/>
      <c r="D157" s="6"/>
      <c r="E157" s="6"/>
      <c r="F157" s="6"/>
      <c r="H157" s="6"/>
      <c r="I157" s="6"/>
      <c r="J157" s="6"/>
      <c r="K157" s="6"/>
      <c r="L157" s="6"/>
      <c r="M157" s="6"/>
      <c r="N157" s="6"/>
      <c r="O157" s="6"/>
      <c r="P157" s="6"/>
      <c r="Q157" s="78"/>
      <c r="R157" s="6"/>
      <c r="S157" s="12"/>
      <c r="T157" s="6"/>
      <c r="U157" s="6"/>
      <c r="V157" s="6"/>
    </row>
    <row r="158" spans="1:22" ht="30" customHeight="1" x14ac:dyDescent="0.3">
      <c r="A158" s="12"/>
      <c r="B158" s="6"/>
      <c r="C158" s="103"/>
      <c r="D158" s="6"/>
      <c r="E158" s="6"/>
      <c r="F158" s="6"/>
      <c r="H158" s="6"/>
      <c r="I158" s="6"/>
      <c r="J158" s="6"/>
      <c r="K158" s="6"/>
      <c r="L158" s="6"/>
      <c r="M158" s="6"/>
      <c r="N158" s="6"/>
      <c r="O158" s="6"/>
      <c r="P158" s="6"/>
      <c r="Q158" s="78"/>
      <c r="R158" s="6"/>
      <c r="S158" s="12"/>
      <c r="T158" s="6"/>
      <c r="U158" s="6"/>
      <c r="V158" s="6"/>
    </row>
    <row r="159" spans="1:22" ht="30" customHeight="1" x14ac:dyDescent="0.3">
      <c r="A159" s="12"/>
      <c r="B159" s="6"/>
      <c r="C159" s="103"/>
      <c r="D159" s="6"/>
      <c r="E159" s="6"/>
      <c r="F159" s="6"/>
      <c r="H159" s="6"/>
      <c r="I159" s="6"/>
      <c r="J159" s="6"/>
      <c r="K159" s="6"/>
      <c r="L159" s="6"/>
      <c r="M159" s="6"/>
      <c r="N159" s="6"/>
      <c r="O159" s="6"/>
      <c r="P159" s="6"/>
      <c r="Q159" s="78"/>
      <c r="R159" s="6"/>
      <c r="S159" s="12"/>
      <c r="T159" s="6"/>
      <c r="U159" s="6"/>
      <c r="V159" s="6"/>
    </row>
    <row r="160" spans="1:22" ht="30" customHeight="1" x14ac:dyDescent="0.3">
      <c r="A160" s="12"/>
      <c r="B160" s="6"/>
      <c r="C160" s="103"/>
      <c r="D160" s="6"/>
      <c r="E160" s="6"/>
      <c r="F160" s="6"/>
      <c r="H160" s="6"/>
      <c r="I160" s="6"/>
      <c r="J160" s="6"/>
      <c r="K160" s="6"/>
      <c r="L160" s="6"/>
      <c r="M160" s="6"/>
      <c r="N160" s="6"/>
      <c r="O160" s="6"/>
      <c r="P160" s="6"/>
      <c r="Q160" s="78"/>
      <c r="R160" s="6"/>
      <c r="S160" s="12"/>
      <c r="T160" s="6"/>
      <c r="U160" s="6"/>
      <c r="V160" s="6"/>
    </row>
    <row r="161" spans="1:22" ht="30" customHeight="1" x14ac:dyDescent="0.3">
      <c r="A161" s="12"/>
      <c r="B161" s="6"/>
      <c r="C161" s="103"/>
      <c r="D161" s="6"/>
      <c r="E161" s="6"/>
      <c r="F161" s="6"/>
      <c r="H161" s="6"/>
      <c r="I161" s="6"/>
      <c r="J161" s="6"/>
      <c r="K161" s="6"/>
      <c r="L161" s="6"/>
      <c r="M161" s="6"/>
      <c r="N161" s="6"/>
      <c r="O161" s="6"/>
      <c r="P161" s="6"/>
      <c r="Q161" s="78"/>
      <c r="R161" s="6"/>
      <c r="S161" s="12"/>
      <c r="T161" s="6"/>
      <c r="U161" s="6"/>
      <c r="V161" s="6"/>
    </row>
    <row r="162" spans="1:22" ht="30" customHeight="1" x14ac:dyDescent="0.3">
      <c r="A162" s="12"/>
      <c r="B162" s="6"/>
      <c r="C162" s="103"/>
      <c r="D162" s="6"/>
      <c r="E162" s="6"/>
      <c r="F162" s="6"/>
      <c r="H162" s="6"/>
      <c r="I162" s="6"/>
      <c r="J162" s="6"/>
      <c r="K162" s="6"/>
      <c r="L162" s="6"/>
      <c r="M162" s="6"/>
      <c r="N162" s="6"/>
      <c r="O162" s="6"/>
      <c r="P162" s="6"/>
      <c r="Q162" s="78"/>
      <c r="R162" s="6"/>
      <c r="S162" s="12"/>
      <c r="T162" s="6"/>
      <c r="U162" s="6"/>
      <c r="V162" s="6"/>
    </row>
    <row r="163" spans="1:22" ht="30" customHeight="1" x14ac:dyDescent="0.3">
      <c r="A163" s="12"/>
      <c r="B163" s="6"/>
      <c r="C163" s="103"/>
      <c r="D163" s="6"/>
      <c r="E163" s="6"/>
      <c r="F163" s="6"/>
      <c r="H163" s="6"/>
      <c r="I163" s="6"/>
      <c r="J163" s="6"/>
      <c r="K163" s="6"/>
      <c r="L163" s="6"/>
      <c r="M163" s="6"/>
      <c r="N163" s="6"/>
      <c r="O163" s="6"/>
      <c r="P163" s="6"/>
      <c r="Q163" s="78"/>
      <c r="R163" s="6"/>
      <c r="S163" s="12"/>
      <c r="T163" s="6"/>
      <c r="U163" s="6"/>
      <c r="V163" s="6"/>
    </row>
    <row r="164" spans="1:22" ht="30" customHeight="1" x14ac:dyDescent="0.3">
      <c r="A164" s="12"/>
      <c r="B164" s="6"/>
      <c r="C164" s="103"/>
      <c r="D164" s="6"/>
      <c r="E164" s="6"/>
      <c r="F164" s="6"/>
      <c r="H164" s="6"/>
      <c r="I164" s="6"/>
      <c r="J164" s="6"/>
      <c r="K164" s="6"/>
      <c r="L164" s="6"/>
      <c r="M164" s="6"/>
      <c r="N164" s="6"/>
      <c r="O164" s="6"/>
      <c r="P164" s="6"/>
      <c r="Q164" s="78"/>
      <c r="R164" s="6"/>
      <c r="S164" s="12"/>
      <c r="T164" s="6"/>
      <c r="U164" s="6"/>
      <c r="V164" s="6"/>
    </row>
    <row r="165" spans="1:22" ht="30" customHeight="1" x14ac:dyDescent="0.3">
      <c r="A165" s="12"/>
      <c r="B165" s="6"/>
      <c r="C165" s="103"/>
      <c r="D165" s="6"/>
      <c r="E165" s="6"/>
      <c r="F165" s="6"/>
      <c r="H165" s="6"/>
      <c r="I165" s="6"/>
      <c r="J165" s="6"/>
      <c r="K165" s="6"/>
      <c r="L165" s="6"/>
      <c r="M165" s="6"/>
      <c r="N165" s="6"/>
      <c r="O165" s="6"/>
      <c r="P165" s="6"/>
      <c r="Q165" s="78"/>
      <c r="R165" s="6"/>
      <c r="S165" s="12"/>
      <c r="T165" s="6"/>
      <c r="U165" s="6"/>
      <c r="V165" s="6"/>
    </row>
    <row r="166" spans="1:22" ht="30" customHeight="1" x14ac:dyDescent="0.3">
      <c r="A166" s="12"/>
      <c r="B166" s="6"/>
      <c r="C166" s="103"/>
      <c r="D166" s="6"/>
      <c r="E166" s="6"/>
      <c r="F166" s="6"/>
      <c r="H166" s="6"/>
      <c r="I166" s="6"/>
      <c r="J166" s="6"/>
      <c r="K166" s="6"/>
      <c r="L166" s="6"/>
      <c r="M166" s="6"/>
      <c r="N166" s="6"/>
      <c r="O166" s="6"/>
      <c r="P166" s="6"/>
      <c r="Q166" s="78"/>
      <c r="R166" s="6"/>
      <c r="S166" s="12"/>
      <c r="T166" s="6"/>
      <c r="U166" s="6"/>
      <c r="V166" s="6"/>
    </row>
    <row r="167" spans="1:22" ht="30" customHeight="1" x14ac:dyDescent="0.3">
      <c r="A167" s="12"/>
      <c r="B167" s="6"/>
      <c r="C167" s="103"/>
      <c r="D167" s="6"/>
      <c r="E167" s="10"/>
      <c r="F167" s="10"/>
      <c r="H167" s="6"/>
      <c r="I167" s="6"/>
      <c r="J167" s="6"/>
      <c r="K167" s="6"/>
      <c r="L167" s="6"/>
      <c r="M167" s="6"/>
      <c r="N167" s="6"/>
      <c r="O167" s="6"/>
      <c r="P167" s="6"/>
      <c r="Q167" s="78"/>
      <c r="R167" s="6"/>
      <c r="S167" s="12"/>
      <c r="T167" s="6"/>
      <c r="U167" s="6"/>
      <c r="V167" s="6"/>
    </row>
    <row r="168" spans="1:22" ht="30" customHeight="1" x14ac:dyDescent="0.3">
      <c r="A168" s="12"/>
      <c r="B168" s="6"/>
      <c r="C168" s="103"/>
      <c r="D168" s="6"/>
      <c r="H168" s="6"/>
      <c r="I168" s="6"/>
      <c r="J168" s="6"/>
      <c r="K168" s="6"/>
      <c r="L168" s="6"/>
      <c r="M168" s="6"/>
      <c r="N168" s="6"/>
      <c r="O168" s="6"/>
      <c r="P168" s="6"/>
      <c r="Q168" s="78"/>
      <c r="R168" s="6"/>
      <c r="S168" s="12"/>
      <c r="T168" s="6"/>
      <c r="U168" s="6"/>
      <c r="V168" s="6"/>
    </row>
    <row r="169" spans="1:22" ht="30" customHeight="1" x14ac:dyDescent="0.3">
      <c r="A169" s="12"/>
      <c r="B169" s="6"/>
      <c r="C169" s="103"/>
      <c r="D169" s="6"/>
      <c r="H169" s="6"/>
      <c r="I169" s="6"/>
      <c r="J169" s="6"/>
      <c r="K169" s="6"/>
      <c r="L169" s="6"/>
      <c r="M169" s="6"/>
      <c r="N169" s="6"/>
      <c r="O169" s="6"/>
      <c r="P169" s="6"/>
      <c r="Q169" s="78"/>
      <c r="R169" s="6"/>
      <c r="S169" s="12"/>
      <c r="T169" s="6"/>
      <c r="U169" s="6"/>
      <c r="V169" s="6"/>
    </row>
    <row r="170" spans="1:22" ht="30" customHeight="1" x14ac:dyDescent="0.3">
      <c r="A170" s="12"/>
      <c r="B170" s="6"/>
      <c r="C170" s="103"/>
      <c r="D170" s="6"/>
      <c r="H170" s="6"/>
      <c r="I170" s="6"/>
      <c r="J170" s="6"/>
      <c r="K170" s="6"/>
      <c r="L170" s="6"/>
      <c r="M170" s="6"/>
      <c r="N170" s="6"/>
      <c r="O170" s="6"/>
      <c r="P170" s="6"/>
      <c r="Q170" s="78"/>
      <c r="R170" s="6"/>
      <c r="S170" s="12"/>
      <c r="T170" s="6"/>
      <c r="U170" s="6"/>
      <c r="V170" s="6"/>
    </row>
    <row r="171" spans="1:22" ht="30" customHeight="1" x14ac:dyDescent="0.3">
      <c r="A171" s="12"/>
      <c r="B171" s="6"/>
      <c r="C171" s="103"/>
      <c r="D171" s="6"/>
      <c r="H171" s="6"/>
      <c r="I171" s="6"/>
      <c r="J171" s="6"/>
      <c r="K171" s="6"/>
      <c r="L171" s="6"/>
      <c r="M171" s="6"/>
      <c r="N171" s="6"/>
      <c r="O171" s="6"/>
      <c r="P171" s="6"/>
      <c r="Q171" s="78"/>
      <c r="R171" s="6"/>
      <c r="S171" s="12"/>
      <c r="T171" s="6"/>
      <c r="U171" s="6"/>
      <c r="V171" s="6"/>
    </row>
    <row r="172" spans="1:22" ht="30" customHeight="1" x14ac:dyDescent="0.3">
      <c r="A172" s="12"/>
      <c r="B172" s="6"/>
      <c r="C172" s="103"/>
      <c r="D172" s="6"/>
      <c r="H172" s="6"/>
      <c r="I172" s="6"/>
      <c r="J172" s="6"/>
      <c r="K172" s="6"/>
      <c r="L172" s="6"/>
      <c r="M172" s="6"/>
      <c r="N172" s="6"/>
      <c r="O172" s="6"/>
      <c r="P172" s="6"/>
      <c r="Q172" s="78"/>
      <c r="R172" s="6"/>
      <c r="S172" s="12"/>
      <c r="T172" s="6"/>
      <c r="U172" s="6"/>
      <c r="V172" s="6"/>
    </row>
  </sheetData>
  <autoFilter ref="B1:B172" xr:uid="{00000000-0009-0000-0000-000000000000}"/>
  <mergeCells count="13">
    <mergeCell ref="F108:G108"/>
    <mergeCell ref="L111:O111"/>
    <mergeCell ref="L112:O112"/>
    <mergeCell ref="L113:M113"/>
    <mergeCell ref="N113:O113"/>
    <mergeCell ref="L114:M114"/>
    <mergeCell ref="N114:O114"/>
    <mergeCell ref="L116:M116"/>
    <mergeCell ref="N116:O116"/>
    <mergeCell ref="L117:M117"/>
    <mergeCell ref="N117:O117"/>
    <mergeCell ref="L115:M115"/>
    <mergeCell ref="N115:O115"/>
  </mergeCells>
  <pageMargins left="0.7" right="0.7" top="0.75" bottom="0.75" header="0.3" footer="0.3"/>
  <pageSetup scale="2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7935-7146-492B-991A-359FA6DE814B}">
  <dimension ref="A1"/>
  <sheetViews>
    <sheetView workbookViewId="0">
      <selection sqref="A1:V36"/>
    </sheetView>
  </sheetViews>
  <sheetFormatPr defaultRowHeight="14.4" x14ac:dyDescent="0.3"/>
  <cols>
    <col min="2" max="2" width="8.88671875" customWidth="1"/>
    <col min="5" max="6" width="8.88671875" customWidth="1"/>
    <col min="8" max="8" width="8.88671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8"/>
  <sheetViews>
    <sheetView view="pageBreakPreview" zoomScale="70" zoomScaleNormal="100" zoomScaleSheetLayoutView="70" workbookViewId="0">
      <selection activeCell="J40" sqref="J40"/>
    </sheetView>
  </sheetViews>
  <sheetFormatPr defaultColWidth="9.109375" defaultRowHeight="14.4" x14ac:dyDescent="0.3"/>
  <cols>
    <col min="1" max="1" width="15.109375" customWidth="1"/>
    <col min="2" max="2" width="9.5546875" customWidth="1"/>
    <col min="3" max="3" width="29.6640625" customWidth="1"/>
    <col min="4" max="4" width="14.88671875" customWidth="1"/>
    <col min="5" max="5" width="10.5546875" customWidth="1"/>
    <col min="6" max="6" width="20.44140625" customWidth="1"/>
    <col min="7" max="7" width="14.6640625" customWidth="1"/>
    <col min="8" max="8" width="16.44140625" customWidth="1"/>
    <col min="9" max="9" width="16.6640625" bestFit="1" customWidth="1"/>
    <col min="10" max="10" width="16.5546875" customWidth="1"/>
    <col min="11" max="11" width="25.5546875" bestFit="1" customWidth="1"/>
    <col min="12" max="12" width="14.44140625" customWidth="1"/>
    <col min="13" max="13" width="14.109375" customWidth="1"/>
    <col min="14" max="14" width="13.88671875" customWidth="1"/>
    <col min="15" max="15" width="14.6640625" customWidth="1"/>
    <col min="16" max="16" width="17.88671875" customWidth="1"/>
    <col min="17" max="17" width="11.44140625" customWidth="1"/>
    <col min="18" max="18" width="17.88671875" customWidth="1"/>
  </cols>
  <sheetData>
    <row r="1" spans="1:18" s="18" customFormat="1" ht="93.6" x14ac:dyDescent="0.3">
      <c r="A1" s="15" t="s">
        <v>58</v>
      </c>
      <c r="B1" s="15" t="s">
        <v>59</v>
      </c>
      <c r="C1" s="16" t="s">
        <v>60</v>
      </c>
      <c r="D1" s="15" t="s">
        <v>61</v>
      </c>
      <c r="E1" s="15" t="s">
        <v>62</v>
      </c>
      <c r="F1" s="15" t="s">
        <v>63</v>
      </c>
      <c r="G1" s="15" t="s">
        <v>64</v>
      </c>
      <c r="H1" s="15" t="s">
        <v>65</v>
      </c>
      <c r="I1" s="15" t="s">
        <v>66</v>
      </c>
      <c r="J1" s="15" t="s">
        <v>67</v>
      </c>
      <c r="K1" s="16" t="s">
        <v>68</v>
      </c>
      <c r="L1" s="16" t="s">
        <v>69</v>
      </c>
      <c r="M1" s="15" t="s">
        <v>70</v>
      </c>
      <c r="N1" s="17" t="s">
        <v>71</v>
      </c>
      <c r="O1" s="15" t="s">
        <v>72</v>
      </c>
      <c r="P1" s="15" t="s">
        <v>73</v>
      </c>
      <c r="Q1" s="15" t="s">
        <v>74</v>
      </c>
      <c r="R1" s="15" t="s">
        <v>75</v>
      </c>
    </row>
    <row r="2" spans="1:18" s="25" customFormat="1" x14ac:dyDescent="0.3">
      <c r="A2" s="19">
        <v>44922</v>
      </c>
      <c r="B2" s="20">
        <v>949</v>
      </c>
      <c r="C2" s="21" t="s">
        <v>76</v>
      </c>
      <c r="D2" s="22">
        <v>30</v>
      </c>
      <c r="E2" s="22">
        <f t="shared" ref="E2:E18" si="0">D2*50/1000</f>
        <v>1.5</v>
      </c>
      <c r="F2" s="22">
        <v>5859.38</v>
      </c>
      <c r="G2" s="22">
        <f t="shared" ref="G2:G18" si="1">(E2*F2)*28%</f>
        <v>2460.9396000000002</v>
      </c>
      <c r="H2" s="22">
        <f t="shared" ref="H2:H18" si="2">(E2*F2)+G2</f>
        <v>11250.009599999999</v>
      </c>
      <c r="I2" s="22">
        <f t="shared" ref="I2:I18" si="3">+D2*6.5</f>
        <v>195</v>
      </c>
      <c r="J2" s="22">
        <f t="shared" ref="J2:J18" si="4">+H2+I2</f>
        <v>11445.009599999999</v>
      </c>
      <c r="K2" s="23" t="s">
        <v>77</v>
      </c>
      <c r="L2" s="22">
        <f t="shared" ref="L2:L18" si="5">+J2/D2</f>
        <v>381.50031999999999</v>
      </c>
      <c r="M2" s="24" t="s">
        <v>78</v>
      </c>
      <c r="N2" s="22">
        <v>30</v>
      </c>
      <c r="O2" s="22">
        <f t="shared" ref="O2:O18" si="6">+D2-N2</f>
        <v>0</v>
      </c>
      <c r="P2" s="22" t="s">
        <v>79</v>
      </c>
      <c r="Q2" s="21"/>
      <c r="R2" s="22">
        <f t="shared" ref="R2:R18" si="7">+N2*L2</f>
        <v>11445.009599999999</v>
      </c>
    </row>
    <row r="3" spans="1:18" s="25" customFormat="1" x14ac:dyDescent="0.3">
      <c r="A3" s="19">
        <v>44941</v>
      </c>
      <c r="B3" s="20">
        <v>1063</v>
      </c>
      <c r="C3" s="21" t="s">
        <v>76</v>
      </c>
      <c r="D3" s="22">
        <v>25</v>
      </c>
      <c r="E3" s="22">
        <f t="shared" si="0"/>
        <v>1.25</v>
      </c>
      <c r="F3" s="22">
        <v>5859.38</v>
      </c>
      <c r="G3" s="22">
        <f t="shared" si="1"/>
        <v>2050.7830000000004</v>
      </c>
      <c r="H3" s="22">
        <f t="shared" si="2"/>
        <v>9375.0080000000016</v>
      </c>
      <c r="I3" s="22">
        <f t="shared" si="3"/>
        <v>162.5</v>
      </c>
      <c r="J3" s="22">
        <f t="shared" si="4"/>
        <v>9537.5080000000016</v>
      </c>
      <c r="K3" s="23" t="s">
        <v>80</v>
      </c>
      <c r="L3" s="22">
        <f t="shared" si="5"/>
        <v>381.50032000000004</v>
      </c>
      <c r="M3" s="21" t="s">
        <v>81</v>
      </c>
      <c r="N3" s="22">
        <v>25</v>
      </c>
      <c r="O3" s="22">
        <f t="shared" si="6"/>
        <v>0</v>
      </c>
      <c r="P3" s="22" t="s">
        <v>79</v>
      </c>
      <c r="Q3" s="21"/>
      <c r="R3" s="22">
        <f t="shared" si="7"/>
        <v>9537.5080000000016</v>
      </c>
    </row>
    <row r="4" spans="1:18" s="25" customFormat="1" x14ac:dyDescent="0.3">
      <c r="A4" s="19">
        <v>44954</v>
      </c>
      <c r="B4" s="20">
        <v>1155</v>
      </c>
      <c r="C4" s="21" t="s">
        <v>76</v>
      </c>
      <c r="D4" s="22">
        <v>30</v>
      </c>
      <c r="E4" s="22">
        <f t="shared" si="0"/>
        <v>1.5</v>
      </c>
      <c r="F4" s="22">
        <v>5859.38</v>
      </c>
      <c r="G4" s="22">
        <f t="shared" si="1"/>
        <v>2460.9396000000002</v>
      </c>
      <c r="H4" s="22">
        <f t="shared" si="2"/>
        <v>11250.009599999999</v>
      </c>
      <c r="I4" s="22">
        <f t="shared" si="3"/>
        <v>195</v>
      </c>
      <c r="J4" s="22">
        <f t="shared" si="4"/>
        <v>11445.009599999999</v>
      </c>
      <c r="K4" s="23" t="s">
        <v>82</v>
      </c>
      <c r="L4" s="22">
        <f t="shared" si="5"/>
        <v>381.50031999999999</v>
      </c>
      <c r="M4" s="21" t="s">
        <v>83</v>
      </c>
      <c r="N4" s="22">
        <v>30</v>
      </c>
      <c r="O4" s="22">
        <f t="shared" si="6"/>
        <v>0</v>
      </c>
      <c r="P4" s="22" t="s">
        <v>79</v>
      </c>
      <c r="Q4" s="21"/>
      <c r="R4" s="22">
        <f t="shared" si="7"/>
        <v>11445.009599999999</v>
      </c>
    </row>
    <row r="5" spans="1:18" s="25" customFormat="1" x14ac:dyDescent="0.3">
      <c r="A5" s="19">
        <v>45068</v>
      </c>
      <c r="B5" s="21">
        <v>2238</v>
      </c>
      <c r="C5" s="21" t="s">
        <v>76</v>
      </c>
      <c r="D5" s="22">
        <v>50</v>
      </c>
      <c r="E5" s="22">
        <f t="shared" si="0"/>
        <v>2.5</v>
      </c>
      <c r="F5" s="22">
        <v>5859.38</v>
      </c>
      <c r="G5" s="22">
        <f t="shared" si="1"/>
        <v>4101.5660000000007</v>
      </c>
      <c r="H5" s="22">
        <f t="shared" si="2"/>
        <v>18750.016000000003</v>
      </c>
      <c r="I5" s="22">
        <f t="shared" si="3"/>
        <v>325</v>
      </c>
      <c r="J5" s="22">
        <f t="shared" si="4"/>
        <v>19075.016000000003</v>
      </c>
      <c r="K5" s="21" t="s">
        <v>82</v>
      </c>
      <c r="L5" s="22">
        <f t="shared" si="5"/>
        <v>381.50032000000004</v>
      </c>
      <c r="M5" s="21" t="s">
        <v>84</v>
      </c>
      <c r="N5" s="22">
        <v>50</v>
      </c>
      <c r="O5" s="22">
        <f t="shared" si="6"/>
        <v>0</v>
      </c>
      <c r="P5" s="21" t="s">
        <v>85</v>
      </c>
      <c r="Q5" s="21"/>
      <c r="R5" s="22">
        <f t="shared" si="7"/>
        <v>19075.016000000003</v>
      </c>
    </row>
    <row r="6" spans="1:18" s="25" customFormat="1" x14ac:dyDescent="0.3">
      <c r="A6" s="19">
        <v>45112</v>
      </c>
      <c r="B6" s="21">
        <v>2723</v>
      </c>
      <c r="C6" s="21" t="s">
        <v>76</v>
      </c>
      <c r="D6" s="22">
        <v>50</v>
      </c>
      <c r="E6" s="22">
        <f t="shared" si="0"/>
        <v>2.5</v>
      </c>
      <c r="F6" s="22">
        <v>5859.38</v>
      </c>
      <c r="G6" s="22">
        <f t="shared" si="1"/>
        <v>4101.5660000000007</v>
      </c>
      <c r="H6" s="22">
        <f t="shared" si="2"/>
        <v>18750.016000000003</v>
      </c>
      <c r="I6" s="22">
        <f t="shared" si="3"/>
        <v>325</v>
      </c>
      <c r="J6" s="22">
        <f t="shared" si="4"/>
        <v>19075.016000000003</v>
      </c>
      <c r="K6" s="21" t="s">
        <v>86</v>
      </c>
      <c r="L6" s="22">
        <f t="shared" si="5"/>
        <v>381.50032000000004</v>
      </c>
      <c r="M6" s="21" t="s">
        <v>87</v>
      </c>
      <c r="N6" s="22">
        <v>50</v>
      </c>
      <c r="O6" s="22">
        <f t="shared" si="6"/>
        <v>0</v>
      </c>
      <c r="P6" s="21" t="s">
        <v>88</v>
      </c>
      <c r="Q6" s="21"/>
      <c r="R6" s="22">
        <f t="shared" si="7"/>
        <v>19075.016000000003</v>
      </c>
    </row>
    <row r="7" spans="1:18" s="25" customFormat="1" x14ac:dyDescent="0.3">
      <c r="A7" s="19">
        <v>45129</v>
      </c>
      <c r="B7" s="21">
        <v>2847</v>
      </c>
      <c r="C7" s="21" t="s">
        <v>76</v>
      </c>
      <c r="D7" s="22">
        <v>160</v>
      </c>
      <c r="E7" s="22">
        <f t="shared" si="0"/>
        <v>8</v>
      </c>
      <c r="F7" s="22">
        <v>5859.38</v>
      </c>
      <c r="G7" s="22">
        <f t="shared" si="1"/>
        <v>13125.011200000001</v>
      </c>
      <c r="H7" s="22">
        <f t="shared" si="2"/>
        <v>60000.051200000002</v>
      </c>
      <c r="I7" s="22">
        <f t="shared" si="3"/>
        <v>1040</v>
      </c>
      <c r="J7" s="22">
        <f t="shared" si="4"/>
        <v>61040.051200000002</v>
      </c>
      <c r="K7" s="21" t="s">
        <v>89</v>
      </c>
      <c r="L7" s="22">
        <f t="shared" si="5"/>
        <v>381.50031999999999</v>
      </c>
      <c r="M7" s="21" t="s">
        <v>90</v>
      </c>
      <c r="N7" s="22">
        <v>160</v>
      </c>
      <c r="O7" s="22">
        <f t="shared" si="6"/>
        <v>0</v>
      </c>
      <c r="P7" s="21" t="s">
        <v>88</v>
      </c>
      <c r="Q7" s="21" t="s">
        <v>91</v>
      </c>
      <c r="R7" s="22">
        <f t="shared" si="7"/>
        <v>61040.051200000002</v>
      </c>
    </row>
    <row r="8" spans="1:18" s="25" customFormat="1" x14ac:dyDescent="0.3">
      <c r="A8" s="19">
        <v>45159</v>
      </c>
      <c r="B8" s="21">
        <v>3245</v>
      </c>
      <c r="C8" s="21" t="s">
        <v>76</v>
      </c>
      <c r="D8" s="22">
        <v>100</v>
      </c>
      <c r="E8" s="22">
        <f t="shared" si="0"/>
        <v>5</v>
      </c>
      <c r="F8" s="22">
        <f>326.56*20</f>
        <v>6531.2</v>
      </c>
      <c r="G8" s="22">
        <f t="shared" si="1"/>
        <v>9143.68</v>
      </c>
      <c r="H8" s="22">
        <f t="shared" si="2"/>
        <v>41799.68</v>
      </c>
      <c r="I8" s="22">
        <f t="shared" si="3"/>
        <v>650</v>
      </c>
      <c r="J8" s="22">
        <f t="shared" si="4"/>
        <v>42449.68</v>
      </c>
      <c r="K8" s="21" t="s">
        <v>92</v>
      </c>
      <c r="L8" s="22">
        <f t="shared" si="5"/>
        <v>424.49680000000001</v>
      </c>
      <c r="M8" s="21" t="s">
        <v>93</v>
      </c>
      <c r="N8" s="22">
        <v>100</v>
      </c>
      <c r="O8" s="22">
        <f t="shared" si="6"/>
        <v>0</v>
      </c>
      <c r="P8" s="21" t="s">
        <v>94</v>
      </c>
      <c r="Q8" s="21"/>
      <c r="R8" s="22">
        <f t="shared" si="7"/>
        <v>42449.68</v>
      </c>
    </row>
    <row r="9" spans="1:18" s="25" customFormat="1" x14ac:dyDescent="0.3">
      <c r="A9" s="19">
        <v>45166</v>
      </c>
      <c r="B9" s="21">
        <v>3310</v>
      </c>
      <c r="C9" s="21" t="s">
        <v>76</v>
      </c>
      <c r="D9" s="22">
        <v>160</v>
      </c>
      <c r="E9" s="22">
        <f t="shared" si="0"/>
        <v>8</v>
      </c>
      <c r="F9" s="22">
        <v>5859.38</v>
      </c>
      <c r="G9" s="22">
        <f t="shared" si="1"/>
        <v>13125.011200000001</v>
      </c>
      <c r="H9" s="22">
        <f t="shared" si="2"/>
        <v>60000.051200000002</v>
      </c>
      <c r="I9" s="22">
        <f t="shared" si="3"/>
        <v>1040</v>
      </c>
      <c r="J9" s="22">
        <f t="shared" si="4"/>
        <v>61040.051200000002</v>
      </c>
      <c r="K9" s="21" t="s">
        <v>92</v>
      </c>
      <c r="L9" s="22">
        <f t="shared" si="5"/>
        <v>381.50031999999999</v>
      </c>
      <c r="M9" s="21" t="s">
        <v>93</v>
      </c>
      <c r="N9" s="22">
        <v>160</v>
      </c>
      <c r="O9" s="22">
        <f t="shared" si="6"/>
        <v>0</v>
      </c>
      <c r="P9" s="21" t="s">
        <v>94</v>
      </c>
      <c r="Q9" s="21"/>
      <c r="R9" s="22">
        <f t="shared" si="7"/>
        <v>61040.051200000002</v>
      </c>
    </row>
    <row r="10" spans="1:18" s="25" customFormat="1" x14ac:dyDescent="0.3">
      <c r="A10" s="19">
        <v>45182</v>
      </c>
      <c r="B10" s="21">
        <v>3480</v>
      </c>
      <c r="C10" s="21" t="s">
        <v>76</v>
      </c>
      <c r="D10" s="22">
        <v>129</v>
      </c>
      <c r="E10" s="22">
        <f t="shared" si="0"/>
        <v>6.45</v>
      </c>
      <c r="F10" s="22">
        <v>5859.38</v>
      </c>
      <c r="G10" s="22">
        <f t="shared" si="1"/>
        <v>10582.040280000003</v>
      </c>
      <c r="H10" s="22">
        <f t="shared" si="2"/>
        <v>48375.041280000005</v>
      </c>
      <c r="I10" s="22">
        <f t="shared" si="3"/>
        <v>838.5</v>
      </c>
      <c r="J10" s="22">
        <f t="shared" si="4"/>
        <v>49213.541280000005</v>
      </c>
      <c r="K10" s="21" t="s">
        <v>92</v>
      </c>
      <c r="L10" s="22">
        <f t="shared" si="5"/>
        <v>381.50032000000004</v>
      </c>
      <c r="M10" s="21" t="s">
        <v>95</v>
      </c>
      <c r="N10" s="22">
        <v>129</v>
      </c>
      <c r="O10" s="22">
        <f t="shared" si="6"/>
        <v>0</v>
      </c>
      <c r="P10" s="21" t="s">
        <v>94</v>
      </c>
      <c r="Q10" s="21"/>
      <c r="R10" s="22">
        <f t="shared" si="7"/>
        <v>49213.541280000005</v>
      </c>
    </row>
    <row r="11" spans="1:18" s="25" customFormat="1" x14ac:dyDescent="0.3">
      <c r="A11" s="19">
        <v>45197</v>
      </c>
      <c r="B11" s="21">
        <v>3647</v>
      </c>
      <c r="C11" s="21" t="s">
        <v>76</v>
      </c>
      <c r="D11" s="22">
        <v>100</v>
      </c>
      <c r="E11" s="22">
        <f t="shared" si="0"/>
        <v>5</v>
      </c>
      <c r="F11" s="22">
        <v>5859.38</v>
      </c>
      <c r="G11" s="22">
        <f t="shared" si="1"/>
        <v>8203.1320000000014</v>
      </c>
      <c r="H11" s="22">
        <f t="shared" si="2"/>
        <v>37500.032000000007</v>
      </c>
      <c r="I11" s="22">
        <f t="shared" si="3"/>
        <v>650</v>
      </c>
      <c r="J11" s="22">
        <f t="shared" si="4"/>
        <v>38150.032000000007</v>
      </c>
      <c r="K11" s="21" t="s">
        <v>92</v>
      </c>
      <c r="L11" s="22">
        <f t="shared" si="5"/>
        <v>381.50032000000004</v>
      </c>
      <c r="M11" s="21" t="s">
        <v>95</v>
      </c>
      <c r="N11" s="22">
        <v>100</v>
      </c>
      <c r="O11" s="22">
        <f t="shared" si="6"/>
        <v>0</v>
      </c>
      <c r="P11" s="21" t="s">
        <v>94</v>
      </c>
      <c r="Q11" s="21"/>
      <c r="R11" s="22">
        <f t="shared" si="7"/>
        <v>38150.032000000007</v>
      </c>
    </row>
    <row r="12" spans="1:18" s="25" customFormat="1" x14ac:dyDescent="0.3">
      <c r="A12" s="19">
        <v>45216</v>
      </c>
      <c r="B12" s="21">
        <v>3851</v>
      </c>
      <c r="C12" s="21" t="s">
        <v>76</v>
      </c>
      <c r="D12" s="22">
        <v>20</v>
      </c>
      <c r="E12" s="22">
        <f t="shared" si="0"/>
        <v>1</v>
      </c>
      <c r="F12" s="22">
        <v>5859.38</v>
      </c>
      <c r="G12" s="22">
        <f t="shared" si="1"/>
        <v>1640.6264000000001</v>
      </c>
      <c r="H12" s="22">
        <f t="shared" si="2"/>
        <v>7500.0064000000002</v>
      </c>
      <c r="I12" s="22">
        <f t="shared" si="3"/>
        <v>130</v>
      </c>
      <c r="J12" s="22">
        <f t="shared" si="4"/>
        <v>7630.0064000000002</v>
      </c>
      <c r="K12" s="21" t="s">
        <v>92</v>
      </c>
      <c r="L12" s="22">
        <f t="shared" si="5"/>
        <v>381.50031999999999</v>
      </c>
      <c r="M12" s="21"/>
      <c r="N12" s="22"/>
      <c r="O12" s="22">
        <f t="shared" si="6"/>
        <v>20</v>
      </c>
      <c r="P12" s="21" t="s">
        <v>94</v>
      </c>
      <c r="Q12" s="21"/>
      <c r="R12" s="22">
        <f t="shared" si="7"/>
        <v>0</v>
      </c>
    </row>
    <row r="13" spans="1:18" s="25" customFormat="1" x14ac:dyDescent="0.3">
      <c r="A13" s="19">
        <v>45224</v>
      </c>
      <c r="B13" s="21">
        <v>3925</v>
      </c>
      <c r="C13" s="21" t="s">
        <v>76</v>
      </c>
      <c r="D13" s="22">
        <v>150</v>
      </c>
      <c r="E13" s="22">
        <f t="shared" si="0"/>
        <v>7.5</v>
      </c>
      <c r="F13" s="22">
        <v>5859.38</v>
      </c>
      <c r="G13" s="22">
        <f t="shared" si="1"/>
        <v>12304.698</v>
      </c>
      <c r="H13" s="22">
        <f t="shared" si="2"/>
        <v>56250.047999999995</v>
      </c>
      <c r="I13" s="22">
        <f t="shared" si="3"/>
        <v>975</v>
      </c>
      <c r="J13" s="22">
        <f t="shared" si="4"/>
        <v>57225.047999999995</v>
      </c>
      <c r="K13" s="21" t="s">
        <v>92</v>
      </c>
      <c r="L13" s="22">
        <f t="shared" si="5"/>
        <v>381.50031999999999</v>
      </c>
      <c r="M13" s="21"/>
      <c r="N13" s="22"/>
      <c r="O13" s="22">
        <f t="shared" si="6"/>
        <v>150</v>
      </c>
      <c r="P13" s="21" t="s">
        <v>94</v>
      </c>
      <c r="Q13" s="21"/>
      <c r="R13" s="22">
        <f t="shared" si="7"/>
        <v>0</v>
      </c>
    </row>
    <row r="14" spans="1:18" s="25" customFormat="1" x14ac:dyDescent="0.3">
      <c r="A14" s="19">
        <v>45248</v>
      </c>
      <c r="B14" s="21">
        <v>4069</v>
      </c>
      <c r="C14" s="21" t="s">
        <v>76</v>
      </c>
      <c r="D14" s="22">
        <v>150</v>
      </c>
      <c r="E14" s="22">
        <f t="shared" si="0"/>
        <v>7.5</v>
      </c>
      <c r="F14" s="22">
        <v>5859.38</v>
      </c>
      <c r="G14" s="22">
        <f t="shared" si="1"/>
        <v>12304.698</v>
      </c>
      <c r="H14" s="22">
        <f t="shared" si="2"/>
        <v>56250.047999999995</v>
      </c>
      <c r="I14" s="22">
        <f t="shared" si="3"/>
        <v>975</v>
      </c>
      <c r="J14" s="22">
        <f t="shared" si="4"/>
        <v>57225.047999999995</v>
      </c>
      <c r="K14" s="21" t="s">
        <v>96</v>
      </c>
      <c r="L14" s="22">
        <f t="shared" si="5"/>
        <v>381.50031999999999</v>
      </c>
      <c r="M14" s="21" t="s">
        <v>97</v>
      </c>
      <c r="N14" s="22">
        <v>150</v>
      </c>
      <c r="O14" s="22">
        <f t="shared" si="6"/>
        <v>0</v>
      </c>
      <c r="P14" s="21" t="s">
        <v>94</v>
      </c>
      <c r="Q14" s="21"/>
      <c r="R14" s="22">
        <f t="shared" si="7"/>
        <v>57225.047999999995</v>
      </c>
    </row>
    <row r="15" spans="1:18" s="25" customFormat="1" x14ac:dyDescent="0.3">
      <c r="A15" s="19">
        <v>45256</v>
      </c>
      <c r="B15" s="21">
        <v>4110</v>
      </c>
      <c r="C15" s="21" t="s">
        <v>76</v>
      </c>
      <c r="D15" s="22">
        <v>150</v>
      </c>
      <c r="E15" s="22">
        <f t="shared" si="0"/>
        <v>7.5</v>
      </c>
      <c r="F15" s="22">
        <v>5859.38</v>
      </c>
      <c r="G15" s="22">
        <f t="shared" si="1"/>
        <v>12304.698</v>
      </c>
      <c r="H15" s="22">
        <f t="shared" si="2"/>
        <v>56250.047999999995</v>
      </c>
      <c r="I15" s="22">
        <f t="shared" si="3"/>
        <v>975</v>
      </c>
      <c r="J15" s="22">
        <f t="shared" si="4"/>
        <v>57225.047999999995</v>
      </c>
      <c r="K15" s="21" t="s">
        <v>92</v>
      </c>
      <c r="L15" s="22">
        <f t="shared" si="5"/>
        <v>381.50031999999999</v>
      </c>
      <c r="M15" s="21"/>
      <c r="N15" s="22"/>
      <c r="O15" s="22">
        <f t="shared" si="6"/>
        <v>150</v>
      </c>
      <c r="P15" s="21" t="s">
        <v>94</v>
      </c>
      <c r="Q15" s="21"/>
      <c r="R15" s="22">
        <f t="shared" si="7"/>
        <v>0</v>
      </c>
    </row>
    <row r="16" spans="1:18" s="25" customFormat="1" x14ac:dyDescent="0.3">
      <c r="A16" s="19">
        <v>45274</v>
      </c>
      <c r="B16" s="21">
        <v>4275</v>
      </c>
      <c r="C16" s="21" t="s">
        <v>76</v>
      </c>
      <c r="D16" s="22">
        <v>50</v>
      </c>
      <c r="E16" s="22">
        <f t="shared" si="0"/>
        <v>2.5</v>
      </c>
      <c r="F16" s="22">
        <v>5859.38</v>
      </c>
      <c r="G16" s="22">
        <f t="shared" si="1"/>
        <v>4101.5660000000007</v>
      </c>
      <c r="H16" s="22">
        <f t="shared" si="2"/>
        <v>18750.016000000003</v>
      </c>
      <c r="I16" s="22">
        <f t="shared" si="3"/>
        <v>325</v>
      </c>
      <c r="J16" s="22">
        <f t="shared" si="4"/>
        <v>19075.016000000003</v>
      </c>
      <c r="K16" s="21" t="s">
        <v>96</v>
      </c>
      <c r="L16" s="22">
        <f t="shared" si="5"/>
        <v>381.50032000000004</v>
      </c>
      <c r="M16" s="21"/>
      <c r="N16" s="22"/>
      <c r="O16" s="22">
        <f t="shared" si="6"/>
        <v>50</v>
      </c>
      <c r="P16" s="21" t="s">
        <v>79</v>
      </c>
      <c r="Q16" s="21"/>
      <c r="R16" s="22">
        <f t="shared" si="7"/>
        <v>0</v>
      </c>
    </row>
    <row r="17" spans="1:18" s="25" customFormat="1" x14ac:dyDescent="0.3">
      <c r="A17" s="19">
        <v>45279</v>
      </c>
      <c r="B17" s="21">
        <v>4328</v>
      </c>
      <c r="C17" s="21" t="s">
        <v>76</v>
      </c>
      <c r="D17" s="22">
        <v>50</v>
      </c>
      <c r="E17" s="22">
        <f t="shared" si="0"/>
        <v>2.5</v>
      </c>
      <c r="F17" s="22">
        <v>5859.38</v>
      </c>
      <c r="G17" s="22">
        <f t="shared" si="1"/>
        <v>4101.5660000000007</v>
      </c>
      <c r="H17" s="22">
        <f t="shared" si="2"/>
        <v>18750.016000000003</v>
      </c>
      <c r="I17" s="22">
        <f t="shared" si="3"/>
        <v>325</v>
      </c>
      <c r="J17" s="22">
        <f t="shared" si="4"/>
        <v>19075.016000000003</v>
      </c>
      <c r="K17" s="21" t="s">
        <v>92</v>
      </c>
      <c r="L17" s="22">
        <f t="shared" si="5"/>
        <v>381.50032000000004</v>
      </c>
      <c r="M17" s="21"/>
      <c r="N17" s="22"/>
      <c r="O17" s="22">
        <f t="shared" si="6"/>
        <v>50</v>
      </c>
      <c r="P17" s="21" t="s">
        <v>94</v>
      </c>
      <c r="Q17" s="21"/>
      <c r="R17" s="22">
        <f t="shared" si="7"/>
        <v>0</v>
      </c>
    </row>
    <row r="18" spans="1:18" s="25" customFormat="1" x14ac:dyDescent="0.3">
      <c r="A18" s="19">
        <v>45288</v>
      </c>
      <c r="B18" s="21">
        <v>4439</v>
      </c>
      <c r="C18" s="21" t="s">
        <v>76</v>
      </c>
      <c r="D18" s="22">
        <v>50</v>
      </c>
      <c r="E18" s="22">
        <f t="shared" si="0"/>
        <v>2.5</v>
      </c>
      <c r="F18" s="22">
        <v>5859.38</v>
      </c>
      <c r="G18" s="22">
        <f t="shared" si="1"/>
        <v>4101.5660000000007</v>
      </c>
      <c r="H18" s="22">
        <f t="shared" si="2"/>
        <v>18750.016000000003</v>
      </c>
      <c r="I18" s="22">
        <f t="shared" si="3"/>
        <v>325</v>
      </c>
      <c r="J18" s="22">
        <f t="shared" si="4"/>
        <v>19075.016000000003</v>
      </c>
      <c r="K18" s="21" t="s">
        <v>92</v>
      </c>
      <c r="L18" s="22">
        <f t="shared" si="5"/>
        <v>381.50032000000004</v>
      </c>
      <c r="M18" s="21"/>
      <c r="N18" s="22"/>
      <c r="O18" s="22">
        <f t="shared" si="6"/>
        <v>50</v>
      </c>
      <c r="P18" s="21" t="s">
        <v>94</v>
      </c>
      <c r="Q18" s="21"/>
      <c r="R18" s="22">
        <f t="shared" si="7"/>
        <v>0</v>
      </c>
    </row>
  </sheetData>
  <autoFilter ref="A1:R18" xr:uid="{00000000-0009-0000-0000-000001000000}"/>
  <pageMargins left="0.7" right="0.7" top="0.75" bottom="0.75" header="0.3" footer="0.3"/>
  <pageSetup paperSize="9" scale="2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3"/>
  <sheetViews>
    <sheetView view="pageBreakPreview" zoomScale="70" zoomScaleNormal="100" zoomScaleSheetLayoutView="70" workbookViewId="0">
      <selection activeCell="H24" sqref="H24"/>
    </sheetView>
  </sheetViews>
  <sheetFormatPr defaultColWidth="14.6640625" defaultRowHeight="14.4" x14ac:dyDescent="0.3"/>
  <cols>
    <col min="2" max="2" width="10.88671875" customWidth="1"/>
    <col min="3" max="3" width="32" customWidth="1"/>
    <col min="5" max="5" width="13.6640625" customWidth="1"/>
    <col min="8" max="8" width="16" customWidth="1"/>
    <col min="10" max="10" width="16.6640625" customWidth="1"/>
    <col min="11" max="11" width="24.6640625" customWidth="1"/>
    <col min="12" max="12" width="13.109375" customWidth="1"/>
    <col min="14" max="14" width="14" bestFit="1" customWidth="1"/>
    <col min="15" max="15" width="15.109375" customWidth="1"/>
    <col min="16" max="16" width="12.44140625" customWidth="1"/>
    <col min="18" max="18" width="15.6640625" customWidth="1"/>
  </cols>
  <sheetData>
    <row r="1" spans="1:19" s="18" customFormat="1" ht="66" customHeight="1" x14ac:dyDescent="0.3">
      <c r="A1" s="15" t="s">
        <v>58</v>
      </c>
      <c r="B1" s="15" t="s">
        <v>59</v>
      </c>
      <c r="C1" s="16" t="s">
        <v>60</v>
      </c>
      <c r="D1" s="15" t="s">
        <v>98</v>
      </c>
      <c r="E1" s="15" t="s">
        <v>99</v>
      </c>
      <c r="F1" s="15" t="s">
        <v>63</v>
      </c>
      <c r="G1" s="15" t="s">
        <v>100</v>
      </c>
      <c r="H1" s="15" t="s">
        <v>65</v>
      </c>
      <c r="I1" s="15" t="s">
        <v>101</v>
      </c>
      <c r="J1" s="15" t="s">
        <v>102</v>
      </c>
      <c r="K1" s="16" t="s">
        <v>68</v>
      </c>
      <c r="L1" s="15" t="s">
        <v>103</v>
      </c>
      <c r="M1" s="15" t="s">
        <v>70</v>
      </c>
      <c r="N1" s="15" t="s">
        <v>104</v>
      </c>
      <c r="O1" s="15" t="s">
        <v>105</v>
      </c>
      <c r="P1" s="15" t="s">
        <v>73</v>
      </c>
      <c r="Q1" s="15" t="s">
        <v>106</v>
      </c>
      <c r="R1" s="15" t="s">
        <v>75</v>
      </c>
      <c r="S1" s="15" t="s">
        <v>107</v>
      </c>
    </row>
    <row r="2" spans="1:19" s="25" customFormat="1" x14ac:dyDescent="0.3">
      <c r="A2" s="19">
        <v>45098</v>
      </c>
      <c r="B2" s="21">
        <v>2590</v>
      </c>
      <c r="C2" s="21" t="s">
        <v>76</v>
      </c>
      <c r="D2" s="21" t="s">
        <v>108</v>
      </c>
      <c r="E2" s="22">
        <v>429</v>
      </c>
      <c r="F2" s="22">
        <v>60300</v>
      </c>
      <c r="G2" s="22">
        <f t="shared" ref="G2:G12" si="0">(E2*F2/1000)*18/100</f>
        <v>4656.366</v>
      </c>
      <c r="H2" s="22">
        <f t="shared" ref="H2:H12" si="1">+(E2*F2/1000)+G2</f>
        <v>30525.065999999999</v>
      </c>
      <c r="I2" s="22">
        <f t="shared" ref="I2:I12" si="2">+E2*0.16</f>
        <v>68.64</v>
      </c>
      <c r="J2" s="22">
        <f t="shared" ref="J2:J12" si="3">+H2+I2</f>
        <v>30593.705999999998</v>
      </c>
      <c r="K2" s="21" t="s">
        <v>109</v>
      </c>
      <c r="L2" s="22">
        <f t="shared" ref="L2:L12" si="4">+J2/E2</f>
        <v>71.313999999999993</v>
      </c>
      <c r="M2" s="22" t="s">
        <v>110</v>
      </c>
      <c r="N2" s="22">
        <v>429</v>
      </c>
      <c r="O2" s="22">
        <f t="shared" ref="O2:O12" si="5">+E2-N2</f>
        <v>0</v>
      </c>
      <c r="P2" s="21" t="s">
        <v>88</v>
      </c>
      <c r="Q2" s="21"/>
      <c r="R2" s="26">
        <f t="shared" ref="R2:R12" si="6">+N2*L2</f>
        <v>30593.705999999998</v>
      </c>
      <c r="S2" s="27">
        <f t="shared" ref="S2:S12" si="7">+J2-R2</f>
        <v>0</v>
      </c>
    </row>
    <row r="3" spans="1:19" s="25" customFormat="1" x14ac:dyDescent="0.3">
      <c r="A3" s="19">
        <v>45098</v>
      </c>
      <c r="B3" s="21">
        <v>2590</v>
      </c>
      <c r="C3" s="21" t="s">
        <v>76</v>
      </c>
      <c r="D3" s="21" t="s">
        <v>111</v>
      </c>
      <c r="E3" s="22">
        <v>1342</v>
      </c>
      <c r="F3" s="22">
        <v>56600</v>
      </c>
      <c r="G3" s="22">
        <f t="shared" si="0"/>
        <v>13672.295999999998</v>
      </c>
      <c r="H3" s="22">
        <f t="shared" si="1"/>
        <v>89629.495999999999</v>
      </c>
      <c r="I3" s="22">
        <f t="shared" si="2"/>
        <v>214.72</v>
      </c>
      <c r="J3" s="22">
        <f t="shared" si="3"/>
        <v>89844.216</v>
      </c>
      <c r="K3" s="21" t="s">
        <v>109</v>
      </c>
      <c r="L3" s="22">
        <f t="shared" si="4"/>
        <v>66.947999999999993</v>
      </c>
      <c r="M3" s="22" t="s">
        <v>110</v>
      </c>
      <c r="N3" s="22">
        <v>1342</v>
      </c>
      <c r="O3" s="22">
        <f t="shared" si="5"/>
        <v>0</v>
      </c>
      <c r="P3" s="21" t="s">
        <v>88</v>
      </c>
      <c r="Q3" s="21"/>
      <c r="R3" s="26">
        <f t="shared" si="6"/>
        <v>89844.215999999986</v>
      </c>
      <c r="S3" s="27">
        <f t="shared" si="7"/>
        <v>0</v>
      </c>
    </row>
    <row r="4" spans="1:19" s="25" customFormat="1" x14ac:dyDescent="0.3">
      <c r="A4" s="19">
        <v>45098</v>
      </c>
      <c r="B4" s="21">
        <v>2590</v>
      </c>
      <c r="C4" s="21" t="s">
        <v>76</v>
      </c>
      <c r="D4" s="21" t="s">
        <v>112</v>
      </c>
      <c r="E4" s="22">
        <v>311</v>
      </c>
      <c r="F4" s="22">
        <v>60650</v>
      </c>
      <c r="G4" s="22">
        <f t="shared" si="0"/>
        <v>3395.1869999999999</v>
      </c>
      <c r="H4" s="22">
        <f t="shared" si="1"/>
        <v>22257.337</v>
      </c>
      <c r="I4" s="22">
        <f t="shared" si="2"/>
        <v>49.76</v>
      </c>
      <c r="J4" s="22">
        <f t="shared" si="3"/>
        <v>22307.096999999998</v>
      </c>
      <c r="K4" s="21" t="s">
        <v>109</v>
      </c>
      <c r="L4" s="22">
        <f t="shared" si="4"/>
        <v>71.72699999999999</v>
      </c>
      <c r="M4" s="22" t="s">
        <v>110</v>
      </c>
      <c r="N4" s="22">
        <v>311</v>
      </c>
      <c r="O4" s="22">
        <f t="shared" si="5"/>
        <v>0</v>
      </c>
      <c r="P4" s="21" t="s">
        <v>88</v>
      </c>
      <c r="Q4" s="21"/>
      <c r="R4" s="26">
        <f t="shared" si="6"/>
        <v>22307.096999999998</v>
      </c>
      <c r="S4" s="27">
        <f t="shared" si="7"/>
        <v>0</v>
      </c>
    </row>
    <row r="5" spans="1:19" s="25" customFormat="1" x14ac:dyDescent="0.3">
      <c r="A5" s="19">
        <v>45098</v>
      </c>
      <c r="B5" s="21">
        <v>2590</v>
      </c>
      <c r="C5" s="21" t="s">
        <v>76</v>
      </c>
      <c r="D5" s="21" t="s">
        <v>113</v>
      </c>
      <c r="E5" s="22">
        <v>572</v>
      </c>
      <c r="F5" s="22">
        <v>55600</v>
      </c>
      <c r="G5" s="22">
        <f t="shared" si="0"/>
        <v>5724.576</v>
      </c>
      <c r="H5" s="22">
        <f t="shared" si="1"/>
        <v>37527.775999999998</v>
      </c>
      <c r="I5" s="22">
        <f t="shared" si="2"/>
        <v>91.52</v>
      </c>
      <c r="J5" s="22">
        <f t="shared" si="3"/>
        <v>37619.295999999995</v>
      </c>
      <c r="K5" s="21" t="s">
        <v>109</v>
      </c>
      <c r="L5" s="22">
        <f t="shared" si="4"/>
        <v>65.767999999999986</v>
      </c>
      <c r="M5" s="22" t="s">
        <v>110</v>
      </c>
      <c r="N5" s="22">
        <v>572</v>
      </c>
      <c r="O5" s="22">
        <f t="shared" si="5"/>
        <v>0</v>
      </c>
      <c r="P5" s="21" t="s">
        <v>88</v>
      </c>
      <c r="Q5" s="21"/>
      <c r="R5" s="26">
        <f t="shared" si="6"/>
        <v>37619.295999999995</v>
      </c>
      <c r="S5" s="27">
        <f t="shared" si="7"/>
        <v>0</v>
      </c>
    </row>
    <row r="6" spans="1:19" s="25" customFormat="1" x14ac:dyDescent="0.3">
      <c r="A6" s="19">
        <v>45098</v>
      </c>
      <c r="B6" s="21">
        <v>2591</v>
      </c>
      <c r="C6" s="21" t="s">
        <v>76</v>
      </c>
      <c r="D6" s="21" t="s">
        <v>108</v>
      </c>
      <c r="E6" s="22">
        <v>429</v>
      </c>
      <c r="F6" s="22">
        <v>60300</v>
      </c>
      <c r="G6" s="22">
        <f t="shared" si="0"/>
        <v>4656.366</v>
      </c>
      <c r="H6" s="22">
        <f t="shared" si="1"/>
        <v>30525.065999999999</v>
      </c>
      <c r="I6" s="22">
        <f t="shared" si="2"/>
        <v>68.64</v>
      </c>
      <c r="J6" s="22">
        <f t="shared" si="3"/>
        <v>30593.705999999998</v>
      </c>
      <c r="K6" s="21" t="s">
        <v>114</v>
      </c>
      <c r="L6" s="22">
        <f t="shared" si="4"/>
        <v>71.313999999999993</v>
      </c>
      <c r="M6" s="22"/>
      <c r="N6" s="22"/>
      <c r="O6" s="22">
        <f t="shared" si="5"/>
        <v>429</v>
      </c>
      <c r="P6" s="21" t="s">
        <v>88</v>
      </c>
      <c r="Q6" s="21"/>
      <c r="R6" s="26">
        <f t="shared" si="6"/>
        <v>0</v>
      </c>
      <c r="S6" s="27">
        <f t="shared" si="7"/>
        <v>30593.705999999998</v>
      </c>
    </row>
    <row r="7" spans="1:19" s="25" customFormat="1" x14ac:dyDescent="0.3">
      <c r="A7" s="19">
        <v>45098</v>
      </c>
      <c r="B7" s="21">
        <v>2591</v>
      </c>
      <c r="C7" s="21" t="s">
        <v>76</v>
      </c>
      <c r="D7" s="21" t="s">
        <v>111</v>
      </c>
      <c r="E7" s="22">
        <v>1193</v>
      </c>
      <c r="F7" s="22">
        <v>56600</v>
      </c>
      <c r="G7" s="22">
        <f t="shared" si="0"/>
        <v>12154.284000000001</v>
      </c>
      <c r="H7" s="22">
        <f t="shared" si="1"/>
        <v>79678.084000000003</v>
      </c>
      <c r="I7" s="22">
        <f t="shared" si="2"/>
        <v>190.88</v>
      </c>
      <c r="J7" s="22">
        <f t="shared" si="3"/>
        <v>79868.964000000007</v>
      </c>
      <c r="K7" s="21" t="s">
        <v>114</v>
      </c>
      <c r="L7" s="22">
        <f t="shared" si="4"/>
        <v>66.948000000000008</v>
      </c>
      <c r="M7" s="22"/>
      <c r="N7" s="22"/>
      <c r="O7" s="22">
        <f t="shared" si="5"/>
        <v>1193</v>
      </c>
      <c r="P7" s="21" t="s">
        <v>88</v>
      </c>
      <c r="Q7" s="21"/>
      <c r="R7" s="26">
        <f t="shared" si="6"/>
        <v>0</v>
      </c>
      <c r="S7" s="27">
        <f t="shared" si="7"/>
        <v>79868.964000000007</v>
      </c>
    </row>
    <row r="8" spans="1:19" s="25" customFormat="1" x14ac:dyDescent="0.3">
      <c r="A8" s="19">
        <v>45098</v>
      </c>
      <c r="B8" s="21">
        <v>2591</v>
      </c>
      <c r="C8" s="21" t="s">
        <v>76</v>
      </c>
      <c r="D8" s="21" t="s">
        <v>112</v>
      </c>
      <c r="E8" s="22">
        <v>172</v>
      </c>
      <c r="F8" s="22">
        <v>60650</v>
      </c>
      <c r="G8" s="22">
        <f t="shared" si="0"/>
        <v>1877.7239999999999</v>
      </c>
      <c r="H8" s="22">
        <f t="shared" si="1"/>
        <v>12309.523999999999</v>
      </c>
      <c r="I8" s="22">
        <f t="shared" si="2"/>
        <v>27.52</v>
      </c>
      <c r="J8" s="22">
        <f t="shared" si="3"/>
        <v>12337.044</v>
      </c>
      <c r="K8" s="21" t="s">
        <v>114</v>
      </c>
      <c r="L8" s="22">
        <f t="shared" si="4"/>
        <v>71.727000000000004</v>
      </c>
      <c r="M8" s="22"/>
      <c r="N8" s="22"/>
      <c r="O8" s="22">
        <f t="shared" si="5"/>
        <v>172</v>
      </c>
      <c r="P8" s="21" t="s">
        <v>88</v>
      </c>
      <c r="Q8" s="21"/>
      <c r="R8" s="26">
        <f t="shared" si="6"/>
        <v>0</v>
      </c>
      <c r="S8" s="27">
        <f t="shared" si="7"/>
        <v>12337.044</v>
      </c>
    </row>
    <row r="9" spans="1:19" s="25" customFormat="1" x14ac:dyDescent="0.3">
      <c r="A9" s="19">
        <v>45098</v>
      </c>
      <c r="B9" s="21">
        <v>2591</v>
      </c>
      <c r="C9" s="21" t="s">
        <v>76</v>
      </c>
      <c r="D9" s="21" t="s">
        <v>113</v>
      </c>
      <c r="E9" s="22">
        <v>954</v>
      </c>
      <c r="F9" s="22">
        <v>55600</v>
      </c>
      <c r="G9" s="22">
        <f t="shared" si="0"/>
        <v>9547.6320000000014</v>
      </c>
      <c r="H9" s="22">
        <f t="shared" si="1"/>
        <v>62590.032000000007</v>
      </c>
      <c r="I9" s="22">
        <f t="shared" si="2"/>
        <v>152.64000000000001</v>
      </c>
      <c r="J9" s="22">
        <f t="shared" si="3"/>
        <v>62742.672000000006</v>
      </c>
      <c r="K9" s="21" t="s">
        <v>114</v>
      </c>
      <c r="L9" s="22">
        <f t="shared" si="4"/>
        <v>65.768000000000001</v>
      </c>
      <c r="M9" s="22"/>
      <c r="N9" s="22"/>
      <c r="O9" s="22">
        <f t="shared" si="5"/>
        <v>954</v>
      </c>
      <c r="P9" s="21" t="s">
        <v>88</v>
      </c>
      <c r="Q9" s="21"/>
      <c r="R9" s="26">
        <f t="shared" si="6"/>
        <v>0</v>
      </c>
      <c r="S9" s="27">
        <f t="shared" si="7"/>
        <v>62742.672000000006</v>
      </c>
    </row>
    <row r="10" spans="1:19" s="25" customFormat="1" x14ac:dyDescent="0.3">
      <c r="A10" s="19">
        <v>45113</v>
      </c>
      <c r="B10" s="21">
        <v>2737</v>
      </c>
      <c r="C10" s="21" t="s">
        <v>76</v>
      </c>
      <c r="D10" s="21" t="s">
        <v>112</v>
      </c>
      <c r="E10" s="22">
        <v>429</v>
      </c>
      <c r="F10" s="22">
        <v>55600</v>
      </c>
      <c r="G10" s="22">
        <f t="shared" si="0"/>
        <v>4293.4319999999998</v>
      </c>
      <c r="H10" s="22">
        <f t="shared" si="1"/>
        <v>28145.832000000002</v>
      </c>
      <c r="I10" s="22">
        <f t="shared" si="2"/>
        <v>68.64</v>
      </c>
      <c r="J10" s="22">
        <f t="shared" si="3"/>
        <v>28214.472000000002</v>
      </c>
      <c r="K10" s="21" t="s">
        <v>109</v>
      </c>
      <c r="L10" s="22">
        <f t="shared" si="4"/>
        <v>65.768000000000001</v>
      </c>
      <c r="M10" s="22" t="s">
        <v>90</v>
      </c>
      <c r="N10" s="22">
        <v>429</v>
      </c>
      <c r="O10" s="22">
        <f t="shared" si="5"/>
        <v>0</v>
      </c>
      <c r="P10" s="21" t="s">
        <v>88</v>
      </c>
      <c r="Q10" s="21" t="s">
        <v>91</v>
      </c>
      <c r="R10" s="26">
        <f t="shared" si="6"/>
        <v>28214.472000000002</v>
      </c>
      <c r="S10" s="27">
        <f t="shared" si="7"/>
        <v>0</v>
      </c>
    </row>
    <row r="11" spans="1:19" s="25" customFormat="1" x14ac:dyDescent="0.3">
      <c r="A11" s="19">
        <v>45274</v>
      </c>
      <c r="B11" s="21">
        <v>4275</v>
      </c>
      <c r="C11" s="21" t="s">
        <v>76</v>
      </c>
      <c r="D11" s="21" t="s">
        <v>108</v>
      </c>
      <c r="E11" s="22">
        <v>10</v>
      </c>
      <c r="F11" s="22">
        <v>60200</v>
      </c>
      <c r="G11" s="22">
        <f t="shared" si="0"/>
        <v>108.36</v>
      </c>
      <c r="H11" s="22">
        <f t="shared" si="1"/>
        <v>710.36</v>
      </c>
      <c r="I11" s="22">
        <f t="shared" si="2"/>
        <v>1.6</v>
      </c>
      <c r="J11" s="22">
        <f t="shared" si="3"/>
        <v>711.96</v>
      </c>
      <c r="K11" s="21" t="s">
        <v>96</v>
      </c>
      <c r="L11" s="22">
        <f t="shared" si="4"/>
        <v>71.195999999999998</v>
      </c>
      <c r="M11" s="22"/>
      <c r="N11" s="22"/>
      <c r="O11" s="22">
        <f t="shared" si="5"/>
        <v>10</v>
      </c>
      <c r="P11" s="21" t="s">
        <v>79</v>
      </c>
      <c r="Q11" s="21"/>
      <c r="R11" s="26">
        <f t="shared" si="6"/>
        <v>0</v>
      </c>
      <c r="S11" s="27">
        <f t="shared" si="7"/>
        <v>711.96</v>
      </c>
    </row>
    <row r="12" spans="1:19" s="25" customFormat="1" x14ac:dyDescent="0.3">
      <c r="A12" s="19">
        <v>45274</v>
      </c>
      <c r="B12" s="21">
        <v>4275</v>
      </c>
      <c r="C12" s="21" t="s">
        <v>76</v>
      </c>
      <c r="D12" s="21" t="s">
        <v>111</v>
      </c>
      <c r="E12" s="22">
        <v>373</v>
      </c>
      <c r="F12" s="22">
        <v>58650</v>
      </c>
      <c r="G12" s="22">
        <f t="shared" si="0"/>
        <v>3937.7610000000004</v>
      </c>
      <c r="H12" s="22">
        <f t="shared" si="1"/>
        <v>25814.211000000003</v>
      </c>
      <c r="I12" s="22">
        <f t="shared" si="2"/>
        <v>59.68</v>
      </c>
      <c r="J12" s="22">
        <f t="shared" si="3"/>
        <v>25873.891000000003</v>
      </c>
      <c r="K12" s="21" t="s">
        <v>96</v>
      </c>
      <c r="L12" s="22">
        <f t="shared" si="4"/>
        <v>69.367000000000004</v>
      </c>
      <c r="M12" s="22"/>
      <c r="N12" s="22"/>
      <c r="O12" s="22">
        <f t="shared" si="5"/>
        <v>373</v>
      </c>
      <c r="P12" s="21" t="s">
        <v>79</v>
      </c>
      <c r="Q12" s="21"/>
      <c r="R12" s="26">
        <f t="shared" si="6"/>
        <v>0</v>
      </c>
      <c r="S12" s="27">
        <f t="shared" si="7"/>
        <v>25873.891000000003</v>
      </c>
    </row>
    <row r="13" spans="1:19" s="25" customFormat="1" x14ac:dyDescent="0.3">
      <c r="A13" s="24"/>
      <c r="B13" s="21"/>
      <c r="C13" s="21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1"/>
      <c r="Q13" s="21"/>
      <c r="R13" s="21"/>
      <c r="S13" s="21"/>
    </row>
  </sheetData>
  <autoFilter ref="A1:S12" xr:uid="{00000000-0009-0000-0000-000002000000}"/>
  <pageMargins left="0.7" right="0.7" top="0.75" bottom="0.75" header="0.3" footer="0.3"/>
  <pageSetup paperSize="9" scale="2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89"/>
  <sheetViews>
    <sheetView zoomScaleNormal="100" zoomScaleSheetLayoutView="85" workbookViewId="0">
      <pane ySplit="4" topLeftCell="A11" activePane="bottomLeft" state="frozen"/>
      <selection activeCell="H24" sqref="H24"/>
      <selection pane="bottomLeft" activeCell="R25" sqref="K25:R25"/>
    </sheetView>
  </sheetViews>
  <sheetFormatPr defaultColWidth="9" defaultRowHeight="30" customHeight="1" x14ac:dyDescent="0.3"/>
  <cols>
    <col min="1" max="1" width="10" style="1" bestFit="1" customWidth="1"/>
    <col min="2" max="2" width="34.44140625" style="2" bestFit="1" customWidth="1"/>
    <col min="3" max="3" width="13.44140625" style="2" bestFit="1" customWidth="1"/>
    <col min="4" max="4" width="11.5546875" style="2" bestFit="1" customWidth="1"/>
    <col min="5" max="5" width="13.33203125" style="8" bestFit="1" customWidth="1"/>
    <col min="6" max="6" width="13.33203125" style="8" customWidth="1"/>
    <col min="7" max="7" width="13.33203125" style="6" hidden="1" customWidth="1"/>
    <col min="8" max="8" width="13.33203125" style="2" customWidth="1"/>
    <col min="9" max="9" width="14.6640625" style="9" customWidth="1"/>
    <col min="10" max="10" width="12.88671875" style="9" bestFit="1" customWidth="1"/>
    <col min="11" max="11" width="10.6640625" style="2" bestFit="1" customWidth="1"/>
    <col min="12" max="15" width="13.5546875" style="2" customWidth="1"/>
    <col min="16" max="16" width="14.88671875" style="2" customWidth="1"/>
    <col min="17" max="17" width="13.5546875" style="70" customWidth="1"/>
    <col min="18" max="18" width="14.88671875" style="2" customWidth="1"/>
    <col min="19" max="19" width="10" style="1" bestFit="1" customWidth="1"/>
    <col min="20" max="20" width="14.88671875" style="2" bestFit="1" customWidth="1"/>
    <col min="21" max="21" width="96.5546875" style="2" bestFit="1" customWidth="1"/>
    <col min="22" max="22" width="14.88671875" style="2" bestFit="1" customWidth="1"/>
    <col min="23" max="16384" width="9" style="2"/>
  </cols>
  <sheetData>
    <row r="1" spans="1:22" ht="30" customHeight="1" x14ac:dyDescent="0.3">
      <c r="A1" s="14" t="s">
        <v>14</v>
      </c>
      <c r="D1" s="6"/>
      <c r="E1" s="6"/>
      <c r="F1" s="2"/>
      <c r="G1" s="2"/>
      <c r="H1" s="3"/>
      <c r="I1" s="3"/>
      <c r="S1" s="14"/>
    </row>
    <row r="2" spans="1:22" ht="25.5" customHeight="1" x14ac:dyDescent="0.3">
      <c r="A2" s="4" t="s">
        <v>0</v>
      </c>
      <c r="B2" s="4"/>
      <c r="C2" s="4" t="s">
        <v>16</v>
      </c>
      <c r="D2" s="6"/>
      <c r="E2" s="6"/>
      <c r="F2" s="2"/>
      <c r="G2" s="2" t="s">
        <v>147</v>
      </c>
      <c r="H2" s="11"/>
      <c r="I2" s="12"/>
      <c r="K2" s="5"/>
      <c r="L2" s="5"/>
      <c r="M2" s="5"/>
      <c r="N2" s="5"/>
      <c r="O2" s="5"/>
      <c r="P2" s="5"/>
      <c r="Q2" s="71"/>
      <c r="R2" s="5"/>
      <c r="S2" s="4"/>
    </row>
    <row r="3" spans="1:22" ht="9.75" customHeight="1" thickBot="1" x14ac:dyDescent="0.35">
      <c r="B3" s="5"/>
      <c r="C3" s="5"/>
      <c r="D3" s="5"/>
      <c r="E3" s="6"/>
      <c r="F3" s="6"/>
      <c r="H3" s="5"/>
      <c r="I3" s="6"/>
      <c r="J3" s="6"/>
      <c r="K3" s="5"/>
      <c r="L3" s="5"/>
      <c r="M3" s="5"/>
      <c r="N3" s="5"/>
      <c r="O3" s="5"/>
      <c r="Q3" s="71"/>
      <c r="T3" s="7"/>
      <c r="U3" s="7"/>
      <c r="V3" s="7"/>
    </row>
    <row r="4" spans="1:22" s="1" customFormat="1" ht="28.8" x14ac:dyDescent="0.3">
      <c r="A4" s="31"/>
      <c r="B4" s="32" t="s">
        <v>1</v>
      </c>
      <c r="C4" s="32" t="s">
        <v>2</v>
      </c>
      <c r="D4" s="32" t="s">
        <v>3</v>
      </c>
      <c r="E4" s="33" t="s">
        <v>4</v>
      </c>
      <c r="F4" s="33" t="s">
        <v>12</v>
      </c>
      <c r="G4" s="34" t="s">
        <v>57</v>
      </c>
      <c r="H4" s="35" t="s">
        <v>13</v>
      </c>
      <c r="I4" s="36" t="s">
        <v>5</v>
      </c>
      <c r="J4" s="37" t="s">
        <v>6</v>
      </c>
      <c r="K4" s="35" t="s">
        <v>15</v>
      </c>
      <c r="L4" s="35" t="s">
        <v>11</v>
      </c>
      <c r="M4" s="35" t="s">
        <v>54</v>
      </c>
      <c r="N4" s="35" t="s">
        <v>34</v>
      </c>
      <c r="O4" s="35" t="s">
        <v>17</v>
      </c>
      <c r="P4" s="35" t="s">
        <v>7</v>
      </c>
      <c r="Q4" s="72" t="s">
        <v>153</v>
      </c>
      <c r="R4" s="35" t="s">
        <v>8</v>
      </c>
      <c r="S4" s="31"/>
      <c r="T4" s="35" t="s">
        <v>9</v>
      </c>
      <c r="U4" s="35" t="s">
        <v>10</v>
      </c>
      <c r="V4" s="35"/>
    </row>
    <row r="5" spans="1:22" ht="19.5" customHeight="1" thickBot="1" x14ac:dyDescent="0.35">
      <c r="A5" s="68"/>
      <c r="B5" s="59"/>
      <c r="C5" s="59"/>
      <c r="D5" s="59"/>
      <c r="E5" s="59"/>
      <c r="F5" s="59"/>
      <c r="G5" s="60"/>
      <c r="H5" s="59"/>
      <c r="I5" s="59"/>
      <c r="J5" s="59"/>
      <c r="K5" s="69">
        <v>0.01</v>
      </c>
      <c r="L5" s="69">
        <v>0.05</v>
      </c>
      <c r="M5" s="69">
        <v>0.1</v>
      </c>
      <c r="N5" s="69">
        <v>0.1</v>
      </c>
      <c r="O5" s="69">
        <v>0.05</v>
      </c>
      <c r="P5" s="59"/>
      <c r="Q5" s="73"/>
      <c r="R5" s="59"/>
      <c r="S5" s="68"/>
      <c r="T5" s="59"/>
      <c r="U5" s="59"/>
      <c r="V5" s="59"/>
    </row>
    <row r="6" spans="1:22" ht="30" customHeight="1" x14ac:dyDescent="0.3">
      <c r="A6" s="42">
        <v>57916</v>
      </c>
      <c r="B6" s="43"/>
      <c r="C6" s="43"/>
      <c r="D6" s="43"/>
      <c r="E6" s="43"/>
      <c r="F6" s="43"/>
      <c r="G6" s="40"/>
      <c r="H6" s="43"/>
      <c r="I6" s="43"/>
      <c r="J6" s="43"/>
      <c r="K6" s="43"/>
      <c r="L6" s="43"/>
      <c r="M6" s="43"/>
      <c r="N6" s="43"/>
      <c r="O6" s="43"/>
      <c r="P6" s="43"/>
      <c r="Q6" s="76"/>
      <c r="R6" s="43"/>
      <c r="S6" s="45">
        <v>57916</v>
      </c>
      <c r="T6" s="43"/>
      <c r="U6" s="50"/>
      <c r="V6" s="43"/>
    </row>
    <row r="7" spans="1:22" ht="30" customHeight="1" x14ac:dyDescent="0.3">
      <c r="A7" s="38"/>
      <c r="B7" s="80" t="s">
        <v>124</v>
      </c>
      <c r="C7" s="51"/>
      <c r="D7" s="52"/>
      <c r="E7" s="39"/>
      <c r="F7" s="39"/>
      <c r="G7" s="40">
        <v>4950</v>
      </c>
      <c r="H7" s="39"/>
      <c r="I7" s="39"/>
      <c r="J7" s="39"/>
      <c r="K7" s="39"/>
      <c r="L7" s="39"/>
      <c r="M7" s="39"/>
      <c r="N7" s="39"/>
      <c r="O7" s="39"/>
      <c r="P7" s="39"/>
      <c r="Q7" s="75"/>
      <c r="R7" s="39"/>
      <c r="S7" s="38"/>
      <c r="T7" s="39">
        <v>198000</v>
      </c>
      <c r="U7" s="41" t="s">
        <v>125</v>
      </c>
      <c r="V7" s="39">
        <f>SUM(R6:R8)-SUM(T6:T8)</f>
        <v>-198000</v>
      </c>
    </row>
    <row r="8" spans="1:22" ht="30" customHeight="1" x14ac:dyDescent="0.3">
      <c r="A8" s="38"/>
      <c r="B8" s="39"/>
      <c r="C8" s="51"/>
      <c r="D8" s="52"/>
      <c r="E8" s="39"/>
      <c r="F8" s="39"/>
      <c r="G8" s="40"/>
      <c r="H8" s="39"/>
      <c r="I8" s="39"/>
      <c r="J8" s="39"/>
      <c r="K8" s="39"/>
      <c r="L8" s="39"/>
      <c r="M8" s="39"/>
      <c r="N8" s="39"/>
      <c r="O8" s="39"/>
      <c r="P8" s="39"/>
      <c r="Q8" s="75"/>
      <c r="R8" s="39"/>
      <c r="S8" s="38"/>
      <c r="T8" s="39"/>
      <c r="U8" s="41"/>
      <c r="V8" s="39"/>
    </row>
    <row r="9" spans="1:22" ht="30" customHeight="1" x14ac:dyDescent="0.3">
      <c r="A9" s="42">
        <v>57915</v>
      </c>
      <c r="B9" s="43"/>
      <c r="C9" s="43"/>
      <c r="D9" s="43"/>
      <c r="E9" s="43"/>
      <c r="F9" s="43"/>
      <c r="G9" s="40"/>
      <c r="H9" s="43"/>
      <c r="I9" s="43"/>
      <c r="J9" s="43"/>
      <c r="K9" s="43"/>
      <c r="L9" s="43"/>
      <c r="M9" s="43"/>
      <c r="N9" s="43"/>
      <c r="O9" s="43"/>
      <c r="P9" s="43"/>
      <c r="Q9" s="76"/>
      <c r="R9" s="43"/>
      <c r="S9" s="45">
        <v>57915</v>
      </c>
      <c r="T9" s="43"/>
      <c r="U9" s="50"/>
      <c r="V9" s="43"/>
    </row>
    <row r="10" spans="1:22" ht="30" customHeight="1" x14ac:dyDescent="0.3">
      <c r="A10" s="38"/>
      <c r="B10" s="80" t="s">
        <v>126</v>
      </c>
      <c r="C10" s="51">
        <v>45190</v>
      </c>
      <c r="D10" s="52">
        <v>23</v>
      </c>
      <c r="E10" s="39">
        <v>123750</v>
      </c>
      <c r="F10" s="39">
        <v>0</v>
      </c>
      <c r="G10" s="40"/>
      <c r="H10" s="39">
        <f>E10-F10</f>
        <v>123750</v>
      </c>
      <c r="I10" s="39">
        <f>H10*18%</f>
        <v>22275</v>
      </c>
      <c r="J10" s="39">
        <f>H10+I10</f>
        <v>146025</v>
      </c>
      <c r="K10" s="39">
        <f>H10*1%</f>
        <v>1237.5</v>
      </c>
      <c r="L10" s="39">
        <f>H10*5%</f>
        <v>6187.5</v>
      </c>
      <c r="M10" s="39">
        <v>0</v>
      </c>
      <c r="N10" s="39">
        <v>0</v>
      </c>
      <c r="O10" s="41"/>
      <c r="P10" s="39">
        <f>I10</f>
        <v>22275</v>
      </c>
      <c r="Q10" s="77"/>
      <c r="R10" s="39">
        <f>J10-SUM(K10:P10)</f>
        <v>116325</v>
      </c>
      <c r="S10" s="38"/>
      <c r="T10" s="39">
        <v>198000</v>
      </c>
      <c r="U10" s="41" t="s">
        <v>127</v>
      </c>
      <c r="V10" s="39">
        <f>SUM(R10:R11)-SUM(T10:T11)</f>
        <v>-81675</v>
      </c>
    </row>
    <row r="11" spans="1:22" ht="30" customHeight="1" x14ac:dyDescent="0.3">
      <c r="A11" s="38"/>
      <c r="B11" s="39"/>
      <c r="C11" s="51"/>
      <c r="D11" s="52"/>
      <c r="E11" s="39"/>
      <c r="F11" s="39"/>
      <c r="G11" s="40"/>
      <c r="H11" s="39"/>
      <c r="I11" s="39"/>
      <c r="J11" s="39"/>
      <c r="K11" s="39"/>
      <c r="L11" s="39"/>
      <c r="M11" s="39"/>
      <c r="N11" s="39"/>
      <c r="O11" s="39"/>
      <c r="P11" s="39"/>
      <c r="Q11" s="75"/>
      <c r="R11" s="39"/>
      <c r="S11" s="38"/>
      <c r="T11" s="39"/>
      <c r="U11" s="41"/>
      <c r="V11" s="39"/>
    </row>
    <row r="12" spans="1:22" ht="30" customHeight="1" x14ac:dyDescent="0.3">
      <c r="A12" s="42">
        <v>58199</v>
      </c>
      <c r="B12" s="43"/>
      <c r="C12" s="43"/>
      <c r="D12" s="43"/>
      <c r="E12" s="43"/>
      <c r="F12" s="43"/>
      <c r="G12" s="40"/>
      <c r="H12" s="43"/>
      <c r="I12" s="43"/>
      <c r="J12" s="43"/>
      <c r="K12" s="43"/>
      <c r="L12" s="43"/>
      <c r="M12" s="43"/>
      <c r="N12" s="43"/>
      <c r="O12" s="43"/>
      <c r="P12" s="43"/>
      <c r="Q12" s="76"/>
      <c r="R12" s="43"/>
      <c r="S12" s="45">
        <v>58199</v>
      </c>
      <c r="T12" s="43"/>
      <c r="U12" s="50"/>
      <c r="V12" s="43"/>
    </row>
    <row r="13" spans="1:22" ht="30" customHeight="1" x14ac:dyDescent="0.3">
      <c r="A13" s="53" t="s">
        <v>129</v>
      </c>
      <c r="B13" s="80" t="s">
        <v>120</v>
      </c>
      <c r="C13" s="51">
        <v>45293</v>
      </c>
      <c r="D13" s="52">
        <v>19</v>
      </c>
      <c r="E13" s="39">
        <v>193187.5</v>
      </c>
      <c r="F13" s="39">
        <v>89254.47</v>
      </c>
      <c r="G13" s="40">
        <f>208578.79+61040.05-F13</f>
        <v>180364.37000000002</v>
      </c>
      <c r="H13" s="39">
        <f>E13-F13</f>
        <v>103933.03</v>
      </c>
      <c r="I13" s="39">
        <f>H13*18%</f>
        <v>18707.945400000001</v>
      </c>
      <c r="J13" s="39">
        <f>H13+I13</f>
        <v>122640.9754</v>
      </c>
      <c r="K13" s="39">
        <f>H13*1%</f>
        <v>1039.3303000000001</v>
      </c>
      <c r="L13" s="39">
        <f>H13*5%</f>
        <v>5196.6514999999999</v>
      </c>
      <c r="M13" s="39">
        <f>H13*10%</f>
        <v>10393.303</v>
      </c>
      <c r="N13" s="39"/>
      <c r="O13" s="39"/>
      <c r="P13" s="39">
        <f>I13</f>
        <v>18707.945400000001</v>
      </c>
      <c r="Q13" s="75"/>
      <c r="R13" s="39">
        <f>J13-SUM(K13:P13)</f>
        <v>87303.74519999999</v>
      </c>
      <c r="S13" s="38"/>
      <c r="T13" s="39">
        <v>148500</v>
      </c>
      <c r="U13" s="41" t="s">
        <v>121</v>
      </c>
      <c r="V13" s="39">
        <f>SUM(R13:R15)-SUM(T13:T15)</f>
        <v>-61196.25480000001</v>
      </c>
    </row>
    <row r="14" spans="1:22" ht="30" customHeight="1" x14ac:dyDescent="0.3">
      <c r="A14" s="38"/>
      <c r="B14" s="54" t="s">
        <v>122</v>
      </c>
      <c r="C14" s="39"/>
      <c r="D14" s="52"/>
      <c r="E14" s="39"/>
      <c r="F14" s="39"/>
      <c r="G14" s="40"/>
      <c r="H14" s="39"/>
      <c r="I14" s="39"/>
      <c r="J14" s="39"/>
      <c r="K14" s="39"/>
      <c r="L14" s="39"/>
      <c r="M14" s="39"/>
      <c r="N14" s="39"/>
      <c r="O14" s="39"/>
      <c r="P14" s="39"/>
      <c r="Q14" s="75"/>
      <c r="R14" s="39"/>
      <c r="S14" s="38"/>
      <c r="T14" s="39"/>
      <c r="U14" s="41"/>
      <c r="V14" s="39"/>
    </row>
    <row r="15" spans="1:22" ht="30" customHeight="1" x14ac:dyDescent="0.3">
      <c r="A15" s="38"/>
      <c r="B15" s="54"/>
      <c r="C15" s="39"/>
      <c r="D15" s="52"/>
      <c r="E15" s="39"/>
      <c r="F15" s="39"/>
      <c r="G15" s="40"/>
      <c r="H15" s="39"/>
      <c r="I15" s="39"/>
      <c r="J15" s="39"/>
      <c r="K15" s="39"/>
      <c r="L15" s="39"/>
      <c r="M15" s="39"/>
      <c r="N15" s="39"/>
      <c r="O15" s="39"/>
      <c r="P15" s="39"/>
      <c r="Q15" s="75"/>
      <c r="R15" s="39"/>
      <c r="S15" s="38"/>
      <c r="T15" s="39"/>
      <c r="U15" s="41"/>
      <c r="V15" s="39"/>
    </row>
    <row r="16" spans="1:22" ht="30" customHeight="1" x14ac:dyDescent="0.3">
      <c r="A16" s="42">
        <v>61599</v>
      </c>
      <c r="B16" s="43"/>
      <c r="C16" s="43"/>
      <c r="D16" s="43"/>
      <c r="E16" s="43"/>
      <c r="F16" s="43"/>
      <c r="G16" s="40"/>
      <c r="H16" s="43"/>
      <c r="I16" s="43"/>
      <c r="J16" s="43"/>
      <c r="K16" s="43"/>
      <c r="L16" s="43"/>
      <c r="M16" s="43"/>
      <c r="N16" s="43"/>
      <c r="O16" s="43"/>
      <c r="P16" s="43"/>
      <c r="Q16" s="76"/>
      <c r="R16" s="43"/>
      <c r="S16" s="45">
        <v>61599</v>
      </c>
      <c r="T16" s="43"/>
      <c r="U16" s="50"/>
      <c r="V16" s="43"/>
    </row>
    <row r="17" spans="1:22" ht="30" customHeight="1" x14ac:dyDescent="0.3">
      <c r="A17" s="38"/>
      <c r="B17" s="80" t="s">
        <v>123</v>
      </c>
      <c r="C17" s="51">
        <v>45293</v>
      </c>
      <c r="D17" s="52">
        <v>20</v>
      </c>
      <c r="E17" s="39">
        <v>226875</v>
      </c>
      <c r="F17" s="39">
        <v>19075</v>
      </c>
      <c r="G17" s="40">
        <f>19075-F17</f>
        <v>0</v>
      </c>
      <c r="H17" s="39">
        <f>E17-F17</f>
        <v>207800</v>
      </c>
      <c r="I17" s="39">
        <f>H17*18%</f>
        <v>37404</v>
      </c>
      <c r="J17" s="39">
        <f>H17+I17</f>
        <v>245204</v>
      </c>
      <c r="K17" s="39">
        <f>H17*1%</f>
        <v>2078</v>
      </c>
      <c r="L17" s="39">
        <f>H17*5%</f>
        <v>10390</v>
      </c>
      <c r="M17" s="39">
        <f>H17*10%</f>
        <v>20780</v>
      </c>
      <c r="N17" s="39"/>
      <c r="O17" s="39"/>
      <c r="P17" s="39">
        <f>I17</f>
        <v>37404</v>
      </c>
      <c r="Q17" s="75"/>
      <c r="R17" s="39">
        <f>J17-SUM(K17:P17)</f>
        <v>174552</v>
      </c>
      <c r="S17" s="38"/>
      <c r="T17" s="39">
        <v>174552</v>
      </c>
      <c r="U17" s="41" t="s">
        <v>146</v>
      </c>
      <c r="V17" s="39">
        <f>SUM(R17:R18)-SUM(T17:T18)</f>
        <v>0</v>
      </c>
    </row>
    <row r="18" spans="1:22" ht="30" customHeight="1" x14ac:dyDescent="0.3">
      <c r="A18" s="38"/>
      <c r="B18" s="39"/>
      <c r="C18" s="39"/>
      <c r="D18" s="52"/>
      <c r="E18" s="39"/>
      <c r="F18" s="39"/>
      <c r="G18" s="40"/>
      <c r="H18" s="39"/>
      <c r="I18" s="39"/>
      <c r="J18" s="39"/>
      <c r="K18" s="39"/>
      <c r="L18" s="39"/>
      <c r="M18" s="39"/>
      <c r="N18" s="39"/>
      <c r="O18" s="39"/>
      <c r="P18" s="39"/>
      <c r="Q18" s="75"/>
      <c r="R18" s="39"/>
      <c r="S18" s="38"/>
      <c r="T18" s="39"/>
      <c r="U18" s="41"/>
      <c r="V18" s="39"/>
    </row>
    <row r="19" spans="1:22" ht="30" customHeight="1" x14ac:dyDescent="0.3">
      <c r="A19" s="45">
        <v>63442</v>
      </c>
      <c r="B19" s="43"/>
      <c r="C19" s="43"/>
      <c r="D19" s="43"/>
      <c r="E19" s="43"/>
      <c r="F19" s="43"/>
      <c r="G19" s="40"/>
      <c r="H19" s="43"/>
      <c r="I19" s="43"/>
      <c r="J19" s="43"/>
      <c r="K19" s="43"/>
      <c r="L19" s="43"/>
      <c r="M19" s="43"/>
      <c r="N19" s="43"/>
      <c r="O19" s="43"/>
      <c r="P19" s="43"/>
      <c r="Q19" s="76"/>
      <c r="R19" s="43"/>
      <c r="S19" s="45"/>
      <c r="T19" s="43"/>
      <c r="U19" s="50"/>
      <c r="V19" s="43"/>
    </row>
    <row r="20" spans="1:22" ht="30" customHeight="1" x14ac:dyDescent="0.3">
      <c r="A20" s="38"/>
      <c r="B20" s="39"/>
      <c r="C20" s="39"/>
      <c r="D20" s="52"/>
      <c r="E20" s="39"/>
      <c r="F20" s="39"/>
      <c r="G20" s="40"/>
      <c r="H20" s="39"/>
      <c r="I20" s="39"/>
      <c r="J20" s="39"/>
      <c r="K20" s="39"/>
      <c r="L20" s="39"/>
      <c r="M20" s="39"/>
      <c r="N20" s="39"/>
      <c r="O20" s="39"/>
      <c r="P20" s="39"/>
      <c r="Q20" s="75"/>
      <c r="R20" s="39"/>
      <c r="S20" s="38"/>
      <c r="T20" s="39"/>
      <c r="U20" s="41"/>
      <c r="V20" s="39"/>
    </row>
    <row r="21" spans="1:22" ht="30" customHeight="1" x14ac:dyDescent="0.3">
      <c r="A21" s="38"/>
      <c r="B21" s="39"/>
      <c r="C21" s="39"/>
      <c r="D21" s="52"/>
      <c r="E21" s="39"/>
      <c r="F21" s="39"/>
      <c r="G21" s="40"/>
      <c r="H21" s="39"/>
      <c r="I21" s="39"/>
      <c r="J21" s="39"/>
      <c r="K21" s="39"/>
      <c r="L21" s="39"/>
      <c r="M21" s="39"/>
      <c r="N21" s="39"/>
      <c r="O21" s="39"/>
      <c r="P21" s="39"/>
      <c r="Q21" s="75"/>
      <c r="R21" s="39"/>
      <c r="S21" s="38"/>
      <c r="T21" s="39"/>
      <c r="U21" s="41"/>
      <c r="V21" s="39"/>
    </row>
    <row r="22" spans="1:22" ht="30" customHeight="1" x14ac:dyDescent="0.3">
      <c r="A22" s="38"/>
      <c r="B22" s="39"/>
      <c r="C22" s="39"/>
      <c r="D22" s="52"/>
      <c r="E22" s="39"/>
      <c r="F22" s="39"/>
      <c r="G22" s="40"/>
      <c r="H22" s="39"/>
      <c r="I22" s="39"/>
      <c r="J22" s="39"/>
      <c r="K22" s="39"/>
      <c r="L22" s="39"/>
      <c r="M22" s="39"/>
      <c r="N22" s="39"/>
      <c r="O22" s="39"/>
      <c r="P22" s="39"/>
      <c r="Q22" s="75"/>
      <c r="R22" s="39"/>
      <c r="S22" s="38"/>
      <c r="T22" s="39"/>
      <c r="U22" s="41"/>
      <c r="V22" s="39"/>
    </row>
    <row r="23" spans="1:22" ht="30" customHeight="1" x14ac:dyDescent="0.3">
      <c r="A23" s="38"/>
      <c r="B23" s="39"/>
      <c r="C23" s="39"/>
      <c r="D23" s="52"/>
      <c r="E23" s="39"/>
      <c r="F23" s="39"/>
      <c r="G23" s="40"/>
      <c r="H23" s="39"/>
      <c r="I23" s="39"/>
      <c r="J23" s="39"/>
      <c r="K23" s="39"/>
      <c r="L23" s="39"/>
      <c r="M23" s="39"/>
      <c r="N23" s="39"/>
      <c r="O23" s="39"/>
      <c r="P23" s="39"/>
      <c r="Q23" s="75"/>
      <c r="R23" s="39"/>
      <c r="S23" s="38"/>
      <c r="T23" s="39"/>
      <c r="U23" s="41"/>
      <c r="V23" s="39"/>
    </row>
    <row r="24" spans="1:22" ht="30" customHeight="1" thickBot="1" x14ac:dyDescent="0.35">
      <c r="A24" s="38"/>
      <c r="B24" s="39"/>
      <c r="C24" s="39"/>
      <c r="D24" s="52"/>
      <c r="E24" s="39"/>
      <c r="F24" s="39"/>
      <c r="G24" s="40"/>
      <c r="H24" s="39"/>
      <c r="I24" s="39"/>
      <c r="J24" s="39"/>
      <c r="K24" s="39"/>
      <c r="L24" s="39"/>
      <c r="M24" s="39"/>
      <c r="N24" s="39"/>
      <c r="O24" s="39"/>
      <c r="P24" s="39"/>
      <c r="Q24" s="75"/>
      <c r="R24" s="39"/>
      <c r="S24" s="38"/>
      <c r="T24" s="39"/>
      <c r="U24" s="41"/>
      <c r="V24" s="39"/>
    </row>
    <row r="25" spans="1:22" ht="30" customHeight="1" x14ac:dyDescent="0.3">
      <c r="A25" s="33"/>
      <c r="B25" s="61"/>
      <c r="C25" s="61"/>
      <c r="D25" s="61"/>
      <c r="E25" s="61"/>
      <c r="F25" s="61">
        <f>SUM(F6:F19)</f>
        <v>108329.47</v>
      </c>
      <c r="G25" s="62">
        <f>SUM(G6:G19)</f>
        <v>185314.37000000002</v>
      </c>
      <c r="H25" s="61"/>
      <c r="I25" s="61"/>
      <c r="J25" s="61"/>
      <c r="K25" s="33">
        <f t="shared" ref="K25:Q25" si="0">SUM(K6:K24)</f>
        <v>4354.8302999999996</v>
      </c>
      <c r="L25" s="33">
        <f t="shared" si="0"/>
        <v>21774.1515</v>
      </c>
      <c r="M25" s="33">
        <f t="shared" si="0"/>
        <v>31173.303</v>
      </c>
      <c r="N25" s="33">
        <f t="shared" si="0"/>
        <v>0</v>
      </c>
      <c r="O25" s="33">
        <f t="shared" si="0"/>
        <v>0</v>
      </c>
      <c r="P25" s="33">
        <f t="shared" si="0"/>
        <v>78386.945399999997</v>
      </c>
      <c r="Q25" s="33">
        <f t="shared" si="0"/>
        <v>0</v>
      </c>
      <c r="R25" s="33">
        <f>SUM(R6:R24)</f>
        <v>378180.7452</v>
      </c>
      <c r="S25" s="33"/>
      <c r="T25" s="33">
        <f>SUM(T6:T19)</f>
        <v>719052</v>
      </c>
      <c r="U25" s="61"/>
      <c r="V25" s="33">
        <f>SUM(V6:V19)</f>
        <v>-340871.2548</v>
      </c>
    </row>
    <row r="26" spans="1:22" ht="30" customHeight="1" x14ac:dyDescent="0.3">
      <c r="A26" s="57"/>
      <c r="B26" s="39"/>
      <c r="C26" s="39"/>
      <c r="D26" s="39"/>
      <c r="E26" s="39"/>
      <c r="F26" s="109">
        <f>SUM(F25:G25)</f>
        <v>293643.84000000003</v>
      </c>
      <c r="G26" s="109"/>
      <c r="H26" s="39"/>
      <c r="I26" s="39"/>
      <c r="J26" s="39"/>
      <c r="K26" s="39"/>
      <c r="L26" s="39"/>
      <c r="M26" s="39"/>
      <c r="N26" s="39"/>
      <c r="O26" s="39"/>
      <c r="P26" s="39"/>
      <c r="Q26" s="75"/>
      <c r="R26" s="39"/>
      <c r="S26" s="57"/>
      <c r="T26" s="39"/>
      <c r="U26" s="39"/>
      <c r="V26" s="39"/>
    </row>
    <row r="27" spans="1:22" ht="30" customHeight="1" thickBot="1" x14ac:dyDescent="0.35">
      <c r="A27" s="58"/>
      <c r="B27" s="59"/>
      <c r="C27" s="59"/>
      <c r="D27" s="59"/>
      <c r="E27" s="59"/>
      <c r="F27" s="59"/>
      <c r="G27" s="60"/>
      <c r="H27" s="59"/>
      <c r="I27" s="59"/>
      <c r="J27" s="59"/>
      <c r="K27" s="59"/>
      <c r="L27" s="59"/>
      <c r="M27" s="59"/>
      <c r="N27" s="59"/>
      <c r="O27" s="59"/>
      <c r="P27" s="59"/>
      <c r="Q27" s="73"/>
      <c r="R27" s="59"/>
      <c r="S27" s="58"/>
      <c r="T27" s="58">
        <f>R25-T25</f>
        <v>-340871.2548</v>
      </c>
      <c r="U27" s="59"/>
      <c r="V27" s="58"/>
    </row>
    <row r="28" spans="1:22" ht="30" customHeight="1" thickBot="1" x14ac:dyDescent="0.35">
      <c r="A28" s="12"/>
      <c r="B28" s="6"/>
      <c r="C28" s="6"/>
      <c r="D28" s="6"/>
      <c r="E28" s="6"/>
      <c r="F28" s="6"/>
      <c r="H28" s="6"/>
      <c r="I28" s="6"/>
      <c r="J28" s="6"/>
      <c r="K28" s="6"/>
      <c r="L28" s="6"/>
      <c r="M28" s="6"/>
      <c r="N28" s="6"/>
      <c r="O28" s="6"/>
      <c r="P28" s="6"/>
      <c r="Q28" s="78"/>
      <c r="R28" s="6"/>
      <c r="S28" s="12"/>
      <c r="T28" s="6"/>
      <c r="U28" s="6"/>
      <c r="V28" s="6"/>
    </row>
    <row r="29" spans="1:22" ht="30" customHeight="1" thickBot="1" x14ac:dyDescent="0.35">
      <c r="A29" s="12" t="s">
        <v>133</v>
      </c>
      <c r="B29" s="6"/>
      <c r="C29" s="6"/>
      <c r="D29" s="6"/>
      <c r="E29" s="6"/>
      <c r="F29" s="6"/>
      <c r="H29" s="6"/>
      <c r="I29" s="6"/>
      <c r="J29" s="6"/>
      <c r="K29" s="6"/>
      <c r="L29" s="110" t="s">
        <v>16</v>
      </c>
      <c r="M29" s="111"/>
      <c r="N29" s="111"/>
      <c r="O29" s="112"/>
      <c r="P29" s="6"/>
      <c r="Q29" s="79"/>
      <c r="R29" s="6"/>
      <c r="S29" s="12"/>
      <c r="T29" s="6"/>
      <c r="U29" s="6"/>
      <c r="V29" s="6"/>
    </row>
    <row r="30" spans="1:22" ht="30" customHeight="1" thickBot="1" x14ac:dyDescent="0.35">
      <c r="A30" s="13" t="s">
        <v>56</v>
      </c>
      <c r="B30" s="28">
        <v>559001</v>
      </c>
      <c r="C30" s="6"/>
      <c r="D30" s="6"/>
      <c r="E30" s="6"/>
      <c r="F30" s="6"/>
      <c r="H30" s="6"/>
      <c r="I30" s="6"/>
      <c r="J30" s="6"/>
      <c r="K30" s="6"/>
      <c r="L30" s="116" t="s">
        <v>158</v>
      </c>
      <c r="M30" s="114"/>
      <c r="N30" s="114"/>
      <c r="O30" s="115"/>
      <c r="P30" s="6"/>
      <c r="Q30" s="79"/>
      <c r="R30" s="6"/>
      <c r="S30" s="12"/>
      <c r="T30" s="6"/>
      <c r="U30" s="6"/>
      <c r="V30" s="6"/>
    </row>
    <row r="31" spans="1:22" ht="30" customHeight="1" thickBot="1" x14ac:dyDescent="0.35">
      <c r="A31" s="13" t="s">
        <v>55</v>
      </c>
      <c r="B31" s="28">
        <v>420707</v>
      </c>
      <c r="C31" s="6"/>
      <c r="D31" s="6"/>
      <c r="E31" s="6"/>
      <c r="F31" s="6"/>
      <c r="H31" s="6"/>
      <c r="I31" s="6"/>
      <c r="J31" s="6"/>
      <c r="K31" s="6"/>
      <c r="L31" s="105" t="s">
        <v>138</v>
      </c>
      <c r="M31" s="106"/>
      <c r="N31" s="105">
        <f>L25+M25+N25+O25</f>
        <v>52947.4545</v>
      </c>
      <c r="O31" s="106"/>
      <c r="P31" s="6"/>
      <c r="Q31" s="79"/>
      <c r="R31" s="6"/>
      <c r="S31" s="12"/>
      <c r="T31" s="6"/>
      <c r="U31" s="6"/>
      <c r="V31" s="6"/>
    </row>
    <row r="32" spans="1:22" ht="30" customHeight="1" thickBot="1" x14ac:dyDescent="0.35">
      <c r="A32" s="13" t="s">
        <v>116</v>
      </c>
      <c r="B32" s="29">
        <f>B30+B31</f>
        <v>979708</v>
      </c>
      <c r="C32" s="6"/>
      <c r="D32" s="6"/>
      <c r="E32" s="6"/>
      <c r="F32" s="6"/>
      <c r="H32" s="6"/>
      <c r="I32" s="6"/>
      <c r="J32" s="6"/>
      <c r="K32" s="6"/>
      <c r="L32" s="105" t="s">
        <v>139</v>
      </c>
      <c r="M32" s="106"/>
      <c r="N32" s="105">
        <f>T27</f>
        <v>-340871.2548</v>
      </c>
      <c r="O32" s="106"/>
      <c r="P32" s="6"/>
      <c r="Q32" s="79"/>
      <c r="R32" s="6"/>
      <c r="S32" s="12"/>
      <c r="T32" s="6"/>
      <c r="U32" s="6"/>
      <c r="V32" s="6"/>
    </row>
    <row r="33" spans="1:22" ht="30" customHeight="1" thickBot="1" x14ac:dyDescent="0.35">
      <c r="A33" s="13" t="s">
        <v>117</v>
      </c>
      <c r="B33" s="28">
        <f>F25</f>
        <v>108329.47</v>
      </c>
      <c r="C33" s="6"/>
      <c r="D33" s="6"/>
      <c r="E33" s="6"/>
      <c r="F33" s="6"/>
      <c r="H33" s="6"/>
      <c r="I33" s="6"/>
      <c r="J33" s="6"/>
      <c r="K33" s="6"/>
      <c r="L33" s="105" t="s">
        <v>140</v>
      </c>
      <c r="M33" s="106"/>
      <c r="N33" s="107" t="s">
        <v>142</v>
      </c>
      <c r="O33" s="108"/>
      <c r="P33" s="6"/>
      <c r="Q33" s="79"/>
      <c r="R33" s="6"/>
      <c r="S33" s="12"/>
      <c r="T33" s="6"/>
      <c r="U33" s="6"/>
      <c r="V33" s="6"/>
    </row>
    <row r="34" spans="1:22" ht="30" customHeight="1" thickBot="1" x14ac:dyDescent="0.35">
      <c r="A34" s="13" t="s">
        <v>118</v>
      </c>
      <c r="B34" s="29">
        <f>B33-B32</f>
        <v>-871378.53</v>
      </c>
      <c r="C34" s="6"/>
      <c r="D34" s="6"/>
      <c r="E34" s="6"/>
      <c r="F34" s="6"/>
      <c r="H34" s="6"/>
      <c r="I34" s="6"/>
      <c r="J34" s="6"/>
      <c r="K34" s="6"/>
      <c r="L34" s="105" t="s">
        <v>141</v>
      </c>
      <c r="M34" s="106"/>
      <c r="N34" s="107" t="e">
        <f>P17+#REF!+#REF!+P13+P10</f>
        <v>#REF!</v>
      </c>
      <c r="O34" s="108"/>
      <c r="P34" s="6" t="s">
        <v>157</v>
      </c>
      <c r="Q34" s="79"/>
      <c r="R34" s="6"/>
      <c r="S34" s="12"/>
      <c r="T34" s="6"/>
      <c r="U34" s="6"/>
      <c r="V34" s="6"/>
    </row>
    <row r="35" spans="1:22" ht="30" customHeight="1" x14ac:dyDescent="0.3">
      <c r="A35" s="13" t="s">
        <v>130</v>
      </c>
      <c r="B35" s="30">
        <v>-37936</v>
      </c>
      <c r="C35" s="12" t="s">
        <v>131</v>
      </c>
      <c r="D35" s="12"/>
      <c r="E35" s="12" t="s">
        <v>132</v>
      </c>
      <c r="F35" s="6"/>
      <c r="H35" s="12" t="s">
        <v>134</v>
      </c>
      <c r="I35" s="6"/>
      <c r="J35" s="6"/>
      <c r="K35" s="6"/>
      <c r="L35" s="6"/>
      <c r="M35" s="6"/>
      <c r="N35" s="6"/>
      <c r="O35" s="6"/>
      <c r="P35" s="6"/>
      <c r="Q35" s="78"/>
      <c r="R35" s="6"/>
      <c r="S35" s="12"/>
      <c r="T35" s="6"/>
      <c r="U35" s="6"/>
      <c r="V35" s="6"/>
    </row>
    <row r="36" spans="1:22" ht="30" customHeight="1" x14ac:dyDescent="0.3">
      <c r="A36" s="12"/>
      <c r="B36" s="6"/>
      <c r="C36" s="6"/>
      <c r="D36" s="6"/>
      <c r="E36" s="6"/>
      <c r="F36" s="6"/>
      <c r="H36" s="6"/>
      <c r="I36" s="6"/>
      <c r="J36" s="6"/>
      <c r="K36" s="6"/>
      <c r="L36" s="6"/>
      <c r="M36" s="6"/>
      <c r="N36" s="6"/>
      <c r="O36" s="6"/>
      <c r="P36" s="6"/>
      <c r="Q36" s="78"/>
      <c r="R36" s="6"/>
      <c r="S36" s="12"/>
      <c r="T36" s="6"/>
      <c r="U36" s="6"/>
      <c r="V36" s="6"/>
    </row>
    <row r="37" spans="1:22" ht="30" customHeight="1" x14ac:dyDescent="0.3">
      <c r="A37" s="12"/>
      <c r="B37" s="6"/>
      <c r="C37" s="6"/>
      <c r="D37" s="6"/>
      <c r="E37" s="6"/>
      <c r="F37" s="6"/>
      <c r="H37" s="6"/>
      <c r="I37" s="6"/>
      <c r="J37" s="6"/>
      <c r="K37" s="6"/>
      <c r="L37" s="6"/>
      <c r="M37" s="6"/>
      <c r="N37" s="6"/>
      <c r="O37" s="6"/>
      <c r="P37" s="6"/>
      <c r="Q37" s="78"/>
      <c r="R37" s="6"/>
      <c r="S37" s="12"/>
      <c r="T37" s="6"/>
      <c r="U37" s="6"/>
      <c r="V37" s="6"/>
    </row>
    <row r="38" spans="1:22" ht="30" customHeight="1" x14ac:dyDescent="0.3">
      <c r="A38" s="12"/>
      <c r="B38" s="6"/>
      <c r="C38" s="6"/>
      <c r="D38" s="6"/>
      <c r="E38" s="6"/>
      <c r="F38" s="6"/>
      <c r="H38" s="6"/>
      <c r="I38" s="6"/>
      <c r="J38" s="6"/>
      <c r="K38" s="6"/>
      <c r="L38" s="6"/>
      <c r="M38" s="6"/>
      <c r="N38" s="6"/>
      <c r="O38" s="6"/>
      <c r="P38" s="6"/>
      <c r="Q38" s="78"/>
      <c r="R38" s="6"/>
      <c r="S38" s="12"/>
      <c r="T38" s="6"/>
      <c r="U38" s="6"/>
      <c r="V38" s="6"/>
    </row>
    <row r="39" spans="1:22" ht="30" customHeight="1" x14ac:dyDescent="0.3">
      <c r="A39" s="12"/>
      <c r="B39" s="6"/>
      <c r="C39" s="6"/>
      <c r="D39" s="6"/>
      <c r="E39" s="6"/>
      <c r="F39" s="6"/>
      <c r="H39" s="6"/>
      <c r="I39" s="6"/>
      <c r="J39" s="6"/>
      <c r="K39" s="6"/>
      <c r="L39" s="6"/>
      <c r="M39" s="6"/>
      <c r="N39" s="6"/>
      <c r="O39" s="6"/>
      <c r="P39" s="6"/>
      <c r="Q39" s="78"/>
      <c r="R39" s="6"/>
      <c r="S39" s="12"/>
      <c r="T39" s="6"/>
      <c r="U39" s="6"/>
      <c r="V39" s="6"/>
    </row>
    <row r="40" spans="1:22" ht="30" customHeight="1" x14ac:dyDescent="0.3">
      <c r="A40" s="12"/>
      <c r="B40" s="6"/>
      <c r="C40" s="6"/>
      <c r="D40" s="6"/>
      <c r="E40" s="6"/>
      <c r="F40" s="6"/>
      <c r="H40" s="6"/>
      <c r="I40" s="6"/>
      <c r="J40" s="6"/>
      <c r="K40" s="6"/>
      <c r="L40" s="6"/>
      <c r="M40" s="6"/>
      <c r="N40" s="6"/>
      <c r="O40" s="6"/>
      <c r="P40" s="6"/>
      <c r="Q40" s="78"/>
      <c r="R40" s="6"/>
      <c r="S40" s="12"/>
      <c r="T40" s="6"/>
      <c r="U40" s="6"/>
      <c r="V40" s="6"/>
    </row>
    <row r="41" spans="1:22" ht="30" customHeight="1" x14ac:dyDescent="0.3">
      <c r="A41" s="12"/>
      <c r="B41" s="6"/>
      <c r="C41" s="6"/>
      <c r="D41" s="6"/>
      <c r="E41" s="6"/>
      <c r="F41" s="6"/>
      <c r="H41" s="6"/>
      <c r="I41" s="6"/>
      <c r="J41" s="6"/>
      <c r="K41" s="6"/>
      <c r="L41" s="6"/>
      <c r="M41" s="6"/>
      <c r="N41" s="6"/>
      <c r="O41" s="6"/>
      <c r="P41" s="6"/>
      <c r="Q41" s="78"/>
      <c r="R41" s="6"/>
      <c r="S41" s="12"/>
      <c r="T41" s="6"/>
      <c r="U41" s="6"/>
      <c r="V41" s="6"/>
    </row>
    <row r="42" spans="1:22" ht="30" customHeight="1" x14ac:dyDescent="0.3">
      <c r="A42" s="12"/>
      <c r="B42" s="6"/>
      <c r="C42" s="6"/>
      <c r="D42" s="6"/>
      <c r="E42" s="6"/>
      <c r="F42" s="6"/>
      <c r="H42" s="6"/>
      <c r="I42" s="6"/>
      <c r="J42" s="6"/>
      <c r="K42" s="6"/>
      <c r="L42" s="6"/>
      <c r="M42" s="6"/>
      <c r="N42" s="6"/>
      <c r="O42" s="6"/>
      <c r="P42" s="6"/>
      <c r="Q42" s="78"/>
      <c r="R42" s="6"/>
      <c r="S42" s="12"/>
      <c r="T42" s="6"/>
      <c r="U42" s="6"/>
      <c r="V42" s="6"/>
    </row>
    <row r="43" spans="1:22" ht="30" customHeight="1" x14ac:dyDescent="0.3">
      <c r="A43" s="12"/>
      <c r="B43" s="6"/>
      <c r="C43" s="6"/>
      <c r="D43" s="6"/>
      <c r="E43" s="6"/>
      <c r="F43" s="6"/>
      <c r="H43" s="6"/>
      <c r="I43" s="6"/>
      <c r="J43" s="6"/>
      <c r="K43" s="6"/>
      <c r="L43" s="6"/>
      <c r="M43" s="6"/>
      <c r="N43" s="6"/>
      <c r="O43" s="6"/>
      <c r="P43" s="6"/>
      <c r="Q43" s="78"/>
      <c r="R43" s="6"/>
      <c r="S43" s="12"/>
      <c r="T43" s="6"/>
      <c r="U43" s="6"/>
      <c r="V43" s="6"/>
    </row>
    <row r="44" spans="1:22" ht="30" customHeight="1" x14ac:dyDescent="0.3">
      <c r="A44" s="12"/>
      <c r="B44" s="6"/>
      <c r="C44" s="6"/>
      <c r="D44" s="6"/>
      <c r="E44" s="6"/>
      <c r="F44" s="6"/>
      <c r="H44" s="6"/>
      <c r="I44" s="6"/>
      <c r="J44" s="6"/>
      <c r="K44" s="6"/>
      <c r="L44" s="6"/>
      <c r="M44" s="6"/>
      <c r="N44" s="6"/>
      <c r="O44" s="6"/>
      <c r="P44" s="6"/>
      <c r="Q44" s="78"/>
      <c r="R44" s="6"/>
      <c r="S44" s="12"/>
      <c r="T44" s="6"/>
      <c r="U44" s="6"/>
      <c r="V44" s="6"/>
    </row>
    <row r="45" spans="1:22" ht="30" customHeight="1" x14ac:dyDescent="0.3">
      <c r="A45" s="12"/>
      <c r="B45" s="6"/>
      <c r="C45" s="6"/>
      <c r="D45" s="6"/>
      <c r="E45" s="6"/>
      <c r="F45" s="6"/>
      <c r="H45" s="6"/>
      <c r="I45" s="6"/>
      <c r="J45" s="6"/>
      <c r="K45" s="6"/>
      <c r="L45" s="6"/>
      <c r="M45" s="6"/>
      <c r="N45" s="6"/>
      <c r="O45" s="6"/>
      <c r="P45" s="6"/>
      <c r="Q45" s="78"/>
      <c r="R45" s="6"/>
      <c r="S45" s="12"/>
      <c r="T45" s="6"/>
      <c r="U45" s="6"/>
      <c r="V45" s="6"/>
    </row>
    <row r="46" spans="1:22" ht="30" customHeight="1" x14ac:dyDescent="0.3">
      <c r="A46" s="12"/>
      <c r="B46" s="6"/>
      <c r="C46" s="6"/>
      <c r="D46" s="6"/>
      <c r="E46" s="6"/>
      <c r="F46" s="6"/>
      <c r="H46" s="6"/>
      <c r="I46" s="6"/>
      <c r="J46" s="6"/>
      <c r="K46" s="6"/>
      <c r="L46" s="6"/>
      <c r="M46" s="6"/>
      <c r="N46" s="6"/>
      <c r="O46" s="6"/>
      <c r="P46" s="6"/>
      <c r="Q46" s="78"/>
      <c r="R46" s="6"/>
      <c r="S46" s="12"/>
      <c r="T46" s="6"/>
      <c r="U46" s="6"/>
      <c r="V46" s="6"/>
    </row>
    <row r="47" spans="1:22" ht="30" customHeight="1" x14ac:dyDescent="0.3">
      <c r="A47" s="12"/>
      <c r="B47" s="6"/>
      <c r="C47" s="6"/>
      <c r="D47" s="6"/>
      <c r="E47" s="6"/>
      <c r="F47" s="6"/>
      <c r="H47" s="6"/>
      <c r="I47" s="6"/>
      <c r="J47" s="6"/>
      <c r="K47" s="6"/>
      <c r="L47" s="6"/>
      <c r="M47" s="6"/>
      <c r="N47" s="6"/>
      <c r="O47" s="6"/>
      <c r="P47" s="6"/>
      <c r="Q47" s="78"/>
      <c r="R47" s="6"/>
      <c r="S47" s="12"/>
      <c r="T47" s="6"/>
      <c r="U47" s="6"/>
      <c r="V47" s="6"/>
    </row>
    <row r="48" spans="1:22" ht="30" customHeight="1" x14ac:dyDescent="0.3">
      <c r="A48" s="12"/>
      <c r="B48" s="6"/>
      <c r="C48" s="6"/>
      <c r="D48" s="6"/>
      <c r="E48" s="6"/>
      <c r="F48" s="6"/>
      <c r="H48" s="6"/>
      <c r="I48" s="6"/>
      <c r="J48" s="6"/>
      <c r="K48" s="6"/>
      <c r="L48" s="6"/>
      <c r="M48" s="6"/>
      <c r="N48" s="6"/>
      <c r="O48" s="6"/>
      <c r="P48" s="6"/>
      <c r="Q48" s="78"/>
      <c r="R48" s="6"/>
      <c r="S48" s="12"/>
      <c r="T48" s="6"/>
      <c r="U48" s="6"/>
      <c r="V48" s="6"/>
    </row>
    <row r="49" spans="1:22" ht="30" customHeight="1" x14ac:dyDescent="0.3">
      <c r="A49" s="12"/>
      <c r="B49" s="6"/>
      <c r="C49" s="6"/>
      <c r="D49" s="6"/>
      <c r="E49" s="6"/>
      <c r="F49" s="6"/>
      <c r="H49" s="6"/>
      <c r="I49" s="6"/>
      <c r="J49" s="6"/>
      <c r="K49" s="6"/>
      <c r="L49" s="6"/>
      <c r="M49" s="6"/>
      <c r="N49" s="6"/>
      <c r="O49" s="6"/>
      <c r="P49" s="6"/>
      <c r="Q49" s="78"/>
      <c r="R49" s="6"/>
      <c r="S49" s="12"/>
      <c r="T49" s="6"/>
      <c r="U49" s="6"/>
      <c r="V49" s="6"/>
    </row>
    <row r="50" spans="1:22" ht="30" customHeight="1" x14ac:dyDescent="0.3">
      <c r="A50" s="12"/>
      <c r="B50" s="6"/>
      <c r="C50" s="6"/>
      <c r="D50" s="6"/>
      <c r="E50" s="6"/>
      <c r="F50" s="6"/>
      <c r="H50" s="6"/>
      <c r="I50" s="6"/>
      <c r="J50" s="6"/>
      <c r="K50" s="6"/>
      <c r="L50" s="6"/>
      <c r="M50" s="6"/>
      <c r="N50" s="6"/>
      <c r="O50" s="6"/>
      <c r="P50" s="6"/>
      <c r="Q50" s="78"/>
      <c r="R50" s="6"/>
      <c r="S50" s="12"/>
      <c r="T50" s="6"/>
      <c r="U50" s="6"/>
      <c r="V50" s="6"/>
    </row>
    <row r="51" spans="1:22" ht="30" customHeight="1" x14ac:dyDescent="0.3">
      <c r="A51" s="12"/>
      <c r="B51" s="6"/>
      <c r="C51" s="6"/>
      <c r="D51" s="6"/>
      <c r="E51" s="6"/>
      <c r="F51" s="6"/>
      <c r="H51" s="6"/>
      <c r="I51" s="6"/>
      <c r="J51" s="6"/>
      <c r="K51" s="6"/>
      <c r="L51" s="6"/>
      <c r="M51" s="6"/>
      <c r="N51" s="6"/>
      <c r="O51" s="6"/>
      <c r="P51" s="6"/>
      <c r="Q51" s="78"/>
      <c r="R51" s="6"/>
      <c r="S51" s="12"/>
      <c r="T51" s="6"/>
      <c r="U51" s="6"/>
      <c r="V51" s="6"/>
    </row>
    <row r="52" spans="1:22" ht="30" customHeight="1" x14ac:dyDescent="0.3">
      <c r="A52" s="12"/>
      <c r="B52" s="6"/>
      <c r="C52" s="6"/>
      <c r="D52" s="6"/>
      <c r="E52" s="6"/>
      <c r="F52" s="6"/>
      <c r="H52" s="6"/>
      <c r="I52" s="6"/>
      <c r="J52" s="6"/>
      <c r="K52" s="6"/>
      <c r="L52" s="6"/>
      <c r="M52" s="6"/>
      <c r="N52" s="6"/>
      <c r="O52" s="6"/>
      <c r="P52" s="6"/>
      <c r="Q52" s="78"/>
      <c r="R52" s="6"/>
      <c r="S52" s="12"/>
      <c r="T52" s="6"/>
      <c r="U52" s="6"/>
      <c r="V52" s="6"/>
    </row>
    <row r="53" spans="1:22" ht="30" customHeight="1" x14ac:dyDescent="0.3">
      <c r="A53" s="12"/>
      <c r="B53" s="6"/>
      <c r="C53" s="6"/>
      <c r="D53" s="6"/>
      <c r="E53" s="6"/>
      <c r="F53" s="6"/>
      <c r="H53" s="6"/>
      <c r="I53" s="6"/>
      <c r="J53" s="6"/>
      <c r="K53" s="6"/>
      <c r="L53" s="6"/>
      <c r="M53" s="6"/>
      <c r="N53" s="6"/>
      <c r="O53" s="6"/>
      <c r="P53" s="6"/>
      <c r="Q53" s="78"/>
      <c r="R53" s="6"/>
      <c r="S53" s="12"/>
      <c r="T53" s="6"/>
      <c r="U53" s="6"/>
      <c r="V53" s="6"/>
    </row>
    <row r="54" spans="1:22" ht="30" customHeight="1" x14ac:dyDescent="0.3">
      <c r="A54" s="12"/>
      <c r="B54" s="6"/>
      <c r="C54" s="6"/>
      <c r="D54" s="6"/>
      <c r="E54" s="6"/>
      <c r="F54" s="6"/>
      <c r="H54" s="6"/>
      <c r="I54" s="6"/>
      <c r="J54" s="6"/>
      <c r="K54" s="6"/>
      <c r="L54" s="6"/>
      <c r="M54" s="6"/>
      <c r="N54" s="6"/>
      <c r="O54" s="6"/>
      <c r="P54" s="6"/>
      <c r="Q54" s="78"/>
      <c r="R54" s="6"/>
      <c r="S54" s="12"/>
      <c r="T54" s="6"/>
      <c r="U54" s="6"/>
      <c r="V54" s="6"/>
    </row>
    <row r="55" spans="1:22" ht="30" customHeight="1" x14ac:dyDescent="0.3">
      <c r="A55" s="12"/>
      <c r="B55" s="6"/>
      <c r="C55" s="6"/>
      <c r="D55" s="6"/>
      <c r="E55" s="6"/>
      <c r="F55" s="6"/>
      <c r="H55" s="6"/>
      <c r="I55" s="6"/>
      <c r="J55" s="6"/>
      <c r="K55" s="6"/>
      <c r="L55" s="6"/>
      <c r="M55" s="6"/>
      <c r="N55" s="6"/>
      <c r="O55" s="6"/>
      <c r="P55" s="6"/>
      <c r="Q55" s="78"/>
      <c r="R55" s="6"/>
      <c r="S55" s="12"/>
      <c r="T55" s="6"/>
      <c r="U55" s="6"/>
      <c r="V55" s="6"/>
    </row>
    <row r="56" spans="1:22" ht="30" customHeight="1" x14ac:dyDescent="0.3">
      <c r="A56" s="12"/>
      <c r="B56" s="6"/>
      <c r="C56" s="6"/>
      <c r="D56" s="6"/>
      <c r="E56" s="6"/>
      <c r="F56" s="6"/>
      <c r="H56" s="6"/>
      <c r="I56" s="6"/>
      <c r="J56" s="6"/>
      <c r="K56" s="6"/>
      <c r="L56" s="6"/>
      <c r="M56" s="6"/>
      <c r="N56" s="6"/>
      <c r="O56" s="6"/>
      <c r="P56" s="6"/>
      <c r="Q56" s="78"/>
      <c r="R56" s="6"/>
      <c r="S56" s="12"/>
      <c r="T56" s="6"/>
      <c r="U56" s="6"/>
      <c r="V56" s="6"/>
    </row>
    <row r="57" spans="1:22" ht="30" customHeight="1" x14ac:dyDescent="0.3">
      <c r="A57" s="12"/>
      <c r="B57" s="6"/>
      <c r="C57" s="6"/>
      <c r="D57" s="6"/>
      <c r="E57" s="6"/>
      <c r="F57" s="6"/>
      <c r="H57" s="6"/>
      <c r="I57" s="6"/>
      <c r="J57" s="6"/>
      <c r="K57" s="6"/>
      <c r="L57" s="6"/>
      <c r="M57" s="6"/>
      <c r="N57" s="6"/>
      <c r="O57" s="6"/>
      <c r="P57" s="6"/>
      <c r="Q57" s="78"/>
      <c r="R57" s="6"/>
      <c r="S57" s="12"/>
      <c r="T57" s="6"/>
      <c r="U57" s="6"/>
      <c r="V57" s="6"/>
    </row>
    <row r="58" spans="1:22" ht="30" customHeight="1" x14ac:dyDescent="0.3">
      <c r="A58" s="12"/>
      <c r="B58" s="6"/>
      <c r="C58" s="6"/>
      <c r="D58" s="6"/>
      <c r="E58" s="6"/>
      <c r="F58" s="6"/>
      <c r="H58" s="6"/>
      <c r="I58" s="6"/>
      <c r="J58" s="6"/>
      <c r="K58" s="6"/>
      <c r="L58" s="6"/>
      <c r="M58" s="6"/>
      <c r="N58" s="6"/>
      <c r="O58" s="6"/>
      <c r="P58" s="6"/>
      <c r="Q58" s="78"/>
      <c r="R58" s="6"/>
      <c r="S58" s="12"/>
      <c r="T58" s="6"/>
      <c r="U58" s="6"/>
      <c r="V58" s="6"/>
    </row>
    <row r="59" spans="1:22" ht="30" customHeight="1" x14ac:dyDescent="0.3">
      <c r="A59" s="12"/>
      <c r="B59" s="6"/>
      <c r="C59" s="6"/>
      <c r="D59" s="6"/>
      <c r="E59" s="6"/>
      <c r="F59" s="6"/>
      <c r="H59" s="6"/>
      <c r="I59" s="6"/>
      <c r="J59" s="6"/>
      <c r="K59" s="6"/>
      <c r="L59" s="6"/>
      <c r="M59" s="6"/>
      <c r="N59" s="6"/>
      <c r="O59" s="6"/>
      <c r="P59" s="6"/>
      <c r="Q59" s="78"/>
      <c r="R59" s="6"/>
      <c r="S59" s="12"/>
      <c r="T59" s="6"/>
      <c r="U59" s="6"/>
      <c r="V59" s="6"/>
    </row>
    <row r="60" spans="1:22" ht="30" customHeight="1" x14ac:dyDescent="0.3">
      <c r="A60" s="12"/>
      <c r="B60" s="6"/>
      <c r="C60" s="6"/>
      <c r="D60" s="6"/>
      <c r="E60" s="6"/>
      <c r="F60" s="6"/>
      <c r="H60" s="6"/>
      <c r="I60" s="6"/>
      <c r="J60" s="6"/>
      <c r="K60" s="6"/>
      <c r="L60" s="6"/>
      <c r="M60" s="6"/>
      <c r="N60" s="6"/>
      <c r="O60" s="6"/>
      <c r="P60" s="6"/>
      <c r="Q60" s="78"/>
      <c r="R60" s="6"/>
      <c r="S60" s="12"/>
      <c r="T60" s="6"/>
      <c r="U60" s="6"/>
      <c r="V60" s="6"/>
    </row>
    <row r="61" spans="1:22" ht="30" customHeight="1" x14ac:dyDescent="0.3">
      <c r="A61" s="12"/>
      <c r="B61" s="6"/>
      <c r="C61" s="6"/>
      <c r="D61" s="6"/>
      <c r="E61" s="6"/>
      <c r="F61" s="6"/>
      <c r="H61" s="6"/>
      <c r="I61" s="6"/>
      <c r="J61" s="6"/>
      <c r="K61" s="6"/>
      <c r="L61" s="6"/>
      <c r="M61" s="6"/>
      <c r="N61" s="6"/>
      <c r="O61" s="6"/>
      <c r="P61" s="6"/>
      <c r="Q61" s="78"/>
      <c r="R61" s="6"/>
      <c r="S61" s="12"/>
      <c r="T61" s="6"/>
      <c r="U61" s="6"/>
      <c r="V61" s="6"/>
    </row>
    <row r="62" spans="1:22" ht="30" customHeight="1" x14ac:dyDescent="0.3">
      <c r="A62" s="12"/>
      <c r="B62" s="6"/>
      <c r="C62" s="6"/>
      <c r="D62" s="6"/>
      <c r="E62" s="6"/>
      <c r="F62" s="6"/>
      <c r="H62" s="6"/>
      <c r="I62" s="6"/>
      <c r="J62" s="6"/>
      <c r="K62" s="6"/>
      <c r="L62" s="6"/>
      <c r="M62" s="6"/>
      <c r="N62" s="6"/>
      <c r="O62" s="6"/>
      <c r="P62" s="6"/>
      <c r="Q62" s="78"/>
      <c r="R62" s="6"/>
      <c r="S62" s="12"/>
      <c r="T62" s="6"/>
      <c r="U62" s="6"/>
      <c r="V62" s="6"/>
    </row>
    <row r="63" spans="1:22" ht="30" customHeight="1" x14ac:dyDescent="0.3">
      <c r="A63" s="12"/>
      <c r="B63" s="6"/>
      <c r="C63" s="6"/>
      <c r="D63" s="6"/>
      <c r="E63" s="6"/>
      <c r="F63" s="6"/>
      <c r="H63" s="6"/>
      <c r="I63" s="6"/>
      <c r="J63" s="6"/>
      <c r="K63" s="6"/>
      <c r="L63" s="6"/>
      <c r="M63" s="6"/>
      <c r="N63" s="6"/>
      <c r="O63" s="6"/>
      <c r="P63" s="6"/>
      <c r="Q63" s="78"/>
      <c r="R63" s="6"/>
      <c r="S63" s="12"/>
      <c r="T63" s="6"/>
      <c r="U63" s="6"/>
      <c r="V63" s="6"/>
    </row>
    <row r="64" spans="1:22" ht="30" customHeight="1" x14ac:dyDescent="0.3">
      <c r="A64" s="12"/>
      <c r="B64" s="6"/>
      <c r="C64" s="6"/>
      <c r="D64" s="6"/>
      <c r="E64" s="6"/>
      <c r="F64" s="6"/>
      <c r="H64" s="6"/>
      <c r="I64" s="6"/>
      <c r="J64" s="6"/>
      <c r="K64" s="6"/>
      <c r="L64" s="6"/>
      <c r="M64" s="6"/>
      <c r="N64" s="6"/>
      <c r="O64" s="6"/>
      <c r="P64" s="6"/>
      <c r="Q64" s="78"/>
      <c r="R64" s="6"/>
      <c r="S64" s="12"/>
      <c r="T64" s="6"/>
      <c r="U64" s="6"/>
      <c r="V64" s="6"/>
    </row>
    <row r="65" spans="1:22" ht="30" customHeight="1" x14ac:dyDescent="0.3">
      <c r="A65" s="12"/>
      <c r="B65" s="6"/>
      <c r="C65" s="6"/>
      <c r="D65" s="6"/>
      <c r="E65" s="6"/>
      <c r="F65" s="6"/>
      <c r="H65" s="6"/>
      <c r="I65" s="6"/>
      <c r="J65" s="6"/>
      <c r="K65" s="6"/>
      <c r="L65" s="6"/>
      <c r="M65" s="6"/>
      <c r="N65" s="6"/>
      <c r="O65" s="6"/>
      <c r="P65" s="6"/>
      <c r="Q65" s="78"/>
      <c r="R65" s="6"/>
      <c r="S65" s="12"/>
      <c r="T65" s="6"/>
      <c r="U65" s="6"/>
      <c r="V65" s="6"/>
    </row>
    <row r="66" spans="1:22" ht="30" customHeight="1" x14ac:dyDescent="0.3">
      <c r="A66" s="12"/>
      <c r="B66" s="6"/>
      <c r="C66" s="6"/>
      <c r="D66" s="6"/>
      <c r="E66" s="6"/>
      <c r="F66" s="6"/>
      <c r="H66" s="6"/>
      <c r="I66" s="6"/>
      <c r="J66" s="6"/>
      <c r="K66" s="6"/>
      <c r="L66" s="6"/>
      <c r="M66" s="6"/>
      <c r="N66" s="6"/>
      <c r="O66" s="6"/>
      <c r="P66" s="6"/>
      <c r="Q66" s="78"/>
      <c r="R66" s="6"/>
      <c r="S66" s="12"/>
      <c r="T66" s="6"/>
      <c r="U66" s="6"/>
      <c r="V66" s="6"/>
    </row>
    <row r="67" spans="1:22" ht="30" customHeight="1" x14ac:dyDescent="0.3">
      <c r="A67" s="12"/>
      <c r="B67" s="6"/>
      <c r="C67" s="6"/>
      <c r="D67" s="6"/>
      <c r="E67" s="6"/>
      <c r="F67" s="6"/>
      <c r="H67" s="6"/>
      <c r="I67" s="6"/>
      <c r="J67" s="6"/>
      <c r="K67" s="6"/>
      <c r="L67" s="6"/>
      <c r="M67" s="6"/>
      <c r="N67" s="6"/>
      <c r="O67" s="6"/>
      <c r="P67" s="6"/>
      <c r="Q67" s="78"/>
      <c r="R67" s="6"/>
      <c r="S67" s="12"/>
      <c r="T67" s="6"/>
      <c r="U67" s="6"/>
      <c r="V67" s="6"/>
    </row>
    <row r="68" spans="1:22" ht="30" customHeight="1" x14ac:dyDescent="0.3">
      <c r="A68" s="12"/>
      <c r="B68" s="6"/>
      <c r="C68" s="6"/>
      <c r="D68" s="6"/>
      <c r="E68" s="6"/>
      <c r="F68" s="6"/>
      <c r="H68" s="6"/>
      <c r="I68" s="6"/>
      <c r="J68" s="6"/>
      <c r="K68" s="6"/>
      <c r="L68" s="6"/>
      <c r="M68" s="6"/>
      <c r="N68" s="6"/>
      <c r="O68" s="6"/>
      <c r="P68" s="6"/>
      <c r="Q68" s="78"/>
      <c r="R68" s="6"/>
      <c r="S68" s="12"/>
      <c r="T68" s="6"/>
      <c r="U68" s="6"/>
      <c r="V68" s="6"/>
    </row>
    <row r="69" spans="1:22" ht="30" customHeight="1" x14ac:dyDescent="0.3">
      <c r="A69" s="12"/>
      <c r="B69" s="6"/>
      <c r="C69" s="6"/>
      <c r="D69" s="6"/>
      <c r="E69" s="6"/>
      <c r="F69" s="6"/>
      <c r="H69" s="6"/>
      <c r="I69" s="6"/>
      <c r="J69" s="6"/>
      <c r="K69" s="6"/>
      <c r="L69" s="6"/>
      <c r="M69" s="6"/>
      <c r="N69" s="6"/>
      <c r="O69" s="6"/>
      <c r="P69" s="6"/>
      <c r="Q69" s="78"/>
      <c r="R69" s="6"/>
      <c r="S69" s="12"/>
      <c r="T69" s="6"/>
      <c r="U69" s="6"/>
      <c r="V69" s="6"/>
    </row>
    <row r="70" spans="1:22" ht="30" customHeight="1" x14ac:dyDescent="0.3">
      <c r="A70" s="12"/>
      <c r="B70" s="6"/>
      <c r="C70" s="6"/>
      <c r="D70" s="6"/>
      <c r="E70" s="6"/>
      <c r="F70" s="6"/>
      <c r="H70" s="6"/>
      <c r="I70" s="6"/>
      <c r="J70" s="6"/>
      <c r="K70" s="6"/>
      <c r="L70" s="6"/>
      <c r="M70" s="6"/>
      <c r="N70" s="6"/>
      <c r="O70" s="6"/>
      <c r="P70" s="6"/>
      <c r="Q70" s="78"/>
      <c r="R70" s="6"/>
      <c r="S70" s="12"/>
      <c r="T70" s="6"/>
      <c r="U70" s="6"/>
      <c r="V70" s="6"/>
    </row>
    <row r="71" spans="1:22" ht="30" customHeight="1" x14ac:dyDescent="0.3">
      <c r="A71" s="12"/>
      <c r="B71" s="6"/>
      <c r="C71" s="6"/>
      <c r="D71" s="6"/>
      <c r="E71" s="6"/>
      <c r="F71" s="6"/>
      <c r="H71" s="6"/>
      <c r="I71" s="6"/>
      <c r="J71" s="6"/>
      <c r="K71" s="6"/>
      <c r="L71" s="6"/>
      <c r="M71" s="6"/>
      <c r="N71" s="6"/>
      <c r="O71" s="6"/>
      <c r="P71" s="6"/>
      <c r="Q71" s="78"/>
      <c r="R71" s="6"/>
      <c r="S71" s="12"/>
      <c r="T71" s="6"/>
      <c r="U71" s="6"/>
      <c r="V71" s="6"/>
    </row>
    <row r="72" spans="1:22" ht="30" customHeight="1" x14ac:dyDescent="0.3">
      <c r="A72" s="12"/>
      <c r="B72" s="6"/>
      <c r="C72" s="6"/>
      <c r="D72" s="6"/>
      <c r="E72" s="6"/>
      <c r="F72" s="6"/>
      <c r="H72" s="6"/>
      <c r="I72" s="6"/>
      <c r="J72" s="6"/>
      <c r="K72" s="6"/>
      <c r="L72" s="6"/>
      <c r="M72" s="6"/>
      <c r="N72" s="6"/>
      <c r="O72" s="6"/>
      <c r="P72" s="6"/>
      <c r="Q72" s="78"/>
      <c r="R72" s="6"/>
      <c r="S72" s="12"/>
      <c r="T72" s="6"/>
      <c r="U72" s="6"/>
      <c r="V72" s="6"/>
    </row>
    <row r="73" spans="1:22" ht="30" customHeight="1" x14ac:dyDescent="0.3">
      <c r="A73" s="12"/>
      <c r="B73" s="6"/>
      <c r="C73" s="6"/>
      <c r="D73" s="6"/>
      <c r="E73" s="6"/>
      <c r="F73" s="6"/>
      <c r="H73" s="6"/>
      <c r="I73" s="6"/>
      <c r="J73" s="6"/>
      <c r="K73" s="6"/>
      <c r="L73" s="6"/>
      <c r="M73" s="6"/>
      <c r="N73" s="6"/>
      <c r="O73" s="6"/>
      <c r="P73" s="6"/>
      <c r="Q73" s="78"/>
      <c r="R73" s="6"/>
      <c r="S73" s="12"/>
      <c r="T73" s="6"/>
      <c r="U73" s="6"/>
      <c r="V73" s="6"/>
    </row>
    <row r="74" spans="1:22" ht="30" customHeight="1" x14ac:dyDescent="0.3">
      <c r="A74" s="12"/>
      <c r="B74" s="6"/>
      <c r="C74" s="6"/>
      <c r="D74" s="6"/>
      <c r="E74" s="6"/>
      <c r="F74" s="6"/>
      <c r="H74" s="6"/>
      <c r="I74" s="6"/>
      <c r="J74" s="6"/>
      <c r="K74" s="6"/>
      <c r="L74" s="6"/>
      <c r="M74" s="6"/>
      <c r="N74" s="6"/>
      <c r="O74" s="6"/>
      <c r="P74" s="6"/>
      <c r="Q74" s="78"/>
      <c r="R74" s="6"/>
      <c r="S74" s="12"/>
      <c r="T74" s="6"/>
      <c r="U74" s="6"/>
      <c r="V74" s="6"/>
    </row>
    <row r="75" spans="1:22" ht="30" customHeight="1" x14ac:dyDescent="0.3">
      <c r="A75" s="12"/>
      <c r="B75" s="6"/>
      <c r="C75" s="6"/>
      <c r="D75" s="6"/>
      <c r="E75" s="6"/>
      <c r="F75" s="6"/>
      <c r="H75" s="6"/>
      <c r="I75" s="6"/>
      <c r="J75" s="6"/>
      <c r="K75" s="6"/>
      <c r="L75" s="6"/>
      <c r="M75" s="6"/>
      <c r="N75" s="6"/>
      <c r="O75" s="6"/>
      <c r="P75" s="6"/>
      <c r="Q75" s="78"/>
      <c r="R75" s="6"/>
      <c r="S75" s="12"/>
      <c r="T75" s="6"/>
      <c r="U75" s="6"/>
      <c r="V75" s="6"/>
    </row>
    <row r="76" spans="1:22" ht="30" customHeight="1" x14ac:dyDescent="0.3">
      <c r="A76" s="12"/>
      <c r="B76" s="6"/>
      <c r="C76" s="6"/>
      <c r="D76" s="6"/>
      <c r="E76" s="6"/>
      <c r="F76" s="6"/>
      <c r="H76" s="6"/>
      <c r="I76" s="6"/>
      <c r="J76" s="6"/>
      <c r="K76" s="6"/>
      <c r="L76" s="6"/>
      <c r="M76" s="6"/>
      <c r="N76" s="6"/>
      <c r="O76" s="6"/>
      <c r="P76" s="6"/>
      <c r="Q76" s="78"/>
      <c r="R76" s="6"/>
      <c r="S76" s="12"/>
      <c r="T76" s="6"/>
      <c r="U76" s="6"/>
      <c r="V76" s="6"/>
    </row>
    <row r="77" spans="1:22" ht="30" customHeight="1" x14ac:dyDescent="0.3">
      <c r="A77" s="12"/>
      <c r="B77" s="6"/>
      <c r="C77" s="6"/>
      <c r="D77" s="6"/>
      <c r="E77" s="6"/>
      <c r="F77" s="6"/>
      <c r="H77" s="6"/>
      <c r="I77" s="6"/>
      <c r="J77" s="6"/>
      <c r="K77" s="6"/>
      <c r="L77" s="6"/>
      <c r="M77" s="6"/>
      <c r="N77" s="6"/>
      <c r="O77" s="6"/>
      <c r="P77" s="6"/>
      <c r="Q77" s="78"/>
      <c r="R77" s="6"/>
      <c r="S77" s="12"/>
      <c r="T77" s="6"/>
      <c r="U77" s="6"/>
      <c r="V77" s="6"/>
    </row>
    <row r="78" spans="1:22" ht="30" customHeight="1" x14ac:dyDescent="0.3">
      <c r="A78" s="12"/>
      <c r="B78" s="6"/>
      <c r="C78" s="6"/>
      <c r="D78" s="6"/>
      <c r="E78" s="6"/>
      <c r="F78" s="6"/>
      <c r="H78" s="6"/>
      <c r="I78" s="6"/>
      <c r="J78" s="6"/>
      <c r="K78" s="6"/>
      <c r="L78" s="6"/>
      <c r="M78" s="6"/>
      <c r="N78" s="6"/>
      <c r="O78" s="6"/>
      <c r="P78" s="6"/>
      <c r="Q78" s="78"/>
      <c r="R78" s="6"/>
      <c r="S78" s="12"/>
      <c r="T78" s="6"/>
      <c r="U78" s="6"/>
      <c r="V78" s="6"/>
    </row>
    <row r="79" spans="1:22" ht="30" customHeight="1" x14ac:dyDescent="0.3">
      <c r="A79" s="12"/>
      <c r="B79" s="6"/>
      <c r="C79" s="6"/>
      <c r="D79" s="6"/>
      <c r="E79" s="6"/>
      <c r="F79" s="6"/>
      <c r="H79" s="6"/>
      <c r="I79" s="6"/>
      <c r="J79" s="6"/>
      <c r="K79" s="6"/>
      <c r="L79" s="6"/>
      <c r="M79" s="6"/>
      <c r="N79" s="6"/>
      <c r="O79" s="6"/>
      <c r="P79" s="6"/>
      <c r="Q79" s="78"/>
      <c r="R79" s="6"/>
      <c r="S79" s="12"/>
      <c r="T79" s="6"/>
      <c r="U79" s="6"/>
      <c r="V79" s="6"/>
    </row>
    <row r="80" spans="1:22" ht="30" customHeight="1" x14ac:dyDescent="0.3">
      <c r="A80" s="12"/>
      <c r="B80" s="6"/>
      <c r="C80" s="6"/>
      <c r="D80" s="6"/>
      <c r="E80" s="6"/>
      <c r="F80" s="6"/>
      <c r="H80" s="6"/>
      <c r="I80" s="6"/>
      <c r="J80" s="6"/>
      <c r="K80" s="6"/>
      <c r="L80" s="6"/>
      <c r="M80" s="6"/>
      <c r="N80" s="6"/>
      <c r="O80" s="6"/>
      <c r="P80" s="6"/>
      <c r="Q80" s="78"/>
      <c r="R80" s="6"/>
      <c r="S80" s="12"/>
      <c r="T80" s="6"/>
      <c r="U80" s="6"/>
      <c r="V80" s="6"/>
    </row>
    <row r="81" spans="1:22" ht="30" customHeight="1" x14ac:dyDescent="0.3">
      <c r="A81" s="12"/>
      <c r="B81" s="6"/>
      <c r="C81" s="6"/>
      <c r="D81" s="6"/>
      <c r="E81" s="6"/>
      <c r="F81" s="6"/>
      <c r="H81" s="6"/>
      <c r="I81" s="6"/>
      <c r="J81" s="6"/>
      <c r="K81" s="6"/>
      <c r="L81" s="6"/>
      <c r="M81" s="6"/>
      <c r="N81" s="6"/>
      <c r="O81" s="6"/>
      <c r="P81" s="6"/>
      <c r="Q81" s="78"/>
      <c r="R81" s="6"/>
      <c r="S81" s="12"/>
      <c r="T81" s="6"/>
      <c r="U81" s="6"/>
      <c r="V81" s="6"/>
    </row>
    <row r="82" spans="1:22" ht="30" customHeight="1" x14ac:dyDescent="0.3">
      <c r="A82" s="12"/>
      <c r="B82" s="6"/>
      <c r="C82" s="6"/>
      <c r="D82" s="6"/>
      <c r="E82" s="6"/>
      <c r="F82" s="6"/>
      <c r="H82" s="6"/>
      <c r="I82" s="6"/>
      <c r="J82" s="6"/>
      <c r="K82" s="6"/>
      <c r="L82" s="6"/>
      <c r="M82" s="6"/>
      <c r="N82" s="6"/>
      <c r="O82" s="6"/>
      <c r="P82" s="6"/>
      <c r="Q82" s="78"/>
      <c r="R82" s="6"/>
      <c r="S82" s="12"/>
      <c r="T82" s="6"/>
      <c r="U82" s="6"/>
      <c r="V82" s="6"/>
    </row>
    <row r="83" spans="1:22" ht="30" customHeight="1" x14ac:dyDescent="0.3">
      <c r="A83" s="12"/>
      <c r="B83" s="6"/>
      <c r="C83" s="6"/>
      <c r="D83" s="6"/>
      <c r="E83" s="6"/>
      <c r="F83" s="6"/>
      <c r="H83" s="6"/>
      <c r="I83" s="6"/>
      <c r="J83" s="6"/>
      <c r="K83" s="6"/>
      <c r="L83" s="6"/>
      <c r="M83" s="6"/>
      <c r="N83" s="6"/>
      <c r="O83" s="6"/>
      <c r="P83" s="6"/>
      <c r="Q83" s="78"/>
      <c r="R83" s="6"/>
      <c r="S83" s="12"/>
      <c r="T83" s="6"/>
      <c r="U83" s="6"/>
      <c r="V83" s="6"/>
    </row>
    <row r="84" spans="1:22" ht="30" customHeight="1" x14ac:dyDescent="0.3">
      <c r="A84" s="12"/>
      <c r="B84" s="6"/>
      <c r="C84" s="6"/>
      <c r="D84" s="6"/>
      <c r="E84" s="10"/>
      <c r="F84" s="10"/>
      <c r="H84" s="6"/>
      <c r="I84" s="6"/>
      <c r="J84" s="6"/>
      <c r="K84" s="6"/>
      <c r="L84" s="6"/>
      <c r="M84" s="6"/>
      <c r="N84" s="6"/>
      <c r="O84" s="6"/>
      <c r="P84" s="6"/>
      <c r="Q84" s="78"/>
      <c r="R84" s="6"/>
      <c r="S84" s="12"/>
      <c r="T84" s="6"/>
      <c r="U84" s="6"/>
      <c r="V84" s="6"/>
    </row>
    <row r="85" spans="1:22" ht="30" customHeight="1" x14ac:dyDescent="0.3">
      <c r="A85" s="12"/>
      <c r="B85" s="6"/>
      <c r="C85" s="6"/>
      <c r="D85" s="6"/>
      <c r="H85" s="6"/>
      <c r="I85" s="6"/>
      <c r="J85" s="6"/>
      <c r="K85" s="6"/>
      <c r="L85" s="6"/>
      <c r="M85" s="6"/>
      <c r="N85" s="6"/>
      <c r="O85" s="6"/>
      <c r="P85" s="6"/>
      <c r="Q85" s="78"/>
      <c r="R85" s="6"/>
      <c r="S85" s="12"/>
      <c r="T85" s="6"/>
      <c r="U85" s="6"/>
      <c r="V85" s="6"/>
    </row>
    <row r="86" spans="1:22" ht="30" customHeight="1" x14ac:dyDescent="0.3">
      <c r="A86" s="12"/>
      <c r="B86" s="6"/>
      <c r="C86" s="6"/>
      <c r="D86" s="6"/>
      <c r="H86" s="6"/>
      <c r="I86" s="6"/>
      <c r="J86" s="6"/>
      <c r="K86" s="6"/>
      <c r="L86" s="6"/>
      <c r="M86" s="6"/>
      <c r="N86" s="6"/>
      <c r="O86" s="6"/>
      <c r="P86" s="6"/>
      <c r="Q86" s="78"/>
      <c r="R86" s="6"/>
      <c r="S86" s="12"/>
      <c r="T86" s="6"/>
      <c r="U86" s="6"/>
      <c r="V86" s="6"/>
    </row>
    <row r="87" spans="1:22" ht="30" customHeight="1" x14ac:dyDescent="0.3">
      <c r="A87" s="12"/>
      <c r="B87" s="6"/>
      <c r="C87" s="6"/>
      <c r="D87" s="6"/>
      <c r="H87" s="6"/>
      <c r="I87" s="6"/>
      <c r="J87" s="6"/>
      <c r="K87" s="6"/>
      <c r="L87" s="6"/>
      <c r="M87" s="6"/>
      <c r="N87" s="6"/>
      <c r="O87" s="6"/>
      <c r="P87" s="6"/>
      <c r="Q87" s="78"/>
      <c r="R87" s="6"/>
      <c r="S87" s="12"/>
      <c r="T87" s="6"/>
      <c r="U87" s="6"/>
      <c r="V87" s="6"/>
    </row>
    <row r="88" spans="1:22" ht="30" customHeight="1" x14ac:dyDescent="0.3">
      <c r="A88" s="12"/>
      <c r="B88" s="6"/>
      <c r="C88" s="6"/>
      <c r="D88" s="6"/>
      <c r="H88" s="6"/>
      <c r="I88" s="6"/>
      <c r="J88" s="6"/>
      <c r="K88" s="6"/>
      <c r="L88" s="6"/>
      <c r="M88" s="6"/>
      <c r="N88" s="6"/>
      <c r="O88" s="6"/>
      <c r="P88" s="6"/>
      <c r="Q88" s="78"/>
      <c r="R88" s="6"/>
      <c r="S88" s="12"/>
      <c r="T88" s="6"/>
      <c r="U88" s="6"/>
      <c r="V88" s="6"/>
    </row>
    <row r="89" spans="1:22" ht="30" customHeight="1" x14ac:dyDescent="0.3">
      <c r="A89" s="12"/>
      <c r="B89" s="6"/>
      <c r="C89" s="6"/>
      <c r="D89" s="6"/>
      <c r="H89" s="6"/>
      <c r="I89" s="6"/>
      <c r="J89" s="6"/>
      <c r="K89" s="6"/>
      <c r="L89" s="6"/>
      <c r="M89" s="6"/>
      <c r="N89" s="6"/>
      <c r="O89" s="6"/>
      <c r="P89" s="6"/>
      <c r="Q89" s="78"/>
      <c r="R89" s="6"/>
      <c r="S89" s="12"/>
      <c r="T89" s="6"/>
      <c r="U89" s="6"/>
      <c r="V89" s="6"/>
    </row>
  </sheetData>
  <autoFilter ref="B1:B89" xr:uid="{00000000-0009-0000-0000-000003000000}"/>
  <mergeCells count="11">
    <mergeCell ref="L33:M33"/>
    <mergeCell ref="N33:O33"/>
    <mergeCell ref="L34:M34"/>
    <mergeCell ref="N34:O34"/>
    <mergeCell ref="F26:G26"/>
    <mergeCell ref="L29:O29"/>
    <mergeCell ref="L30:O30"/>
    <mergeCell ref="L31:M31"/>
    <mergeCell ref="N31:O31"/>
    <mergeCell ref="L32:M32"/>
    <mergeCell ref="N32:O32"/>
  </mergeCells>
  <pageMargins left="0.7" right="0.7" top="0.75" bottom="0.75" header="0.3" footer="0.3"/>
  <pageSetup scale="2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Master sheet</vt:lpstr>
      <vt:lpstr>Sheet1</vt:lpstr>
      <vt:lpstr>Cement</vt:lpstr>
      <vt:lpstr>TMT</vt:lpstr>
      <vt:lpstr>Master sheet (2)</vt:lpstr>
      <vt:lpstr>'Master sheet'!Print_Area</vt:lpstr>
      <vt:lpstr>'Master sheet (2)'!Print_Area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2024-01-11T08:35:44Z</cp:lastPrinted>
  <dcterms:created xsi:type="dcterms:W3CDTF">2022-06-10T14:11:52Z</dcterms:created>
  <dcterms:modified xsi:type="dcterms:W3CDTF">2025-05-30T09:38:19Z</dcterms:modified>
</cp:coreProperties>
</file>