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MZN Payment reconciliation\SHREE RAM INFRASTRUTURE\"/>
    </mc:Choice>
  </mc:AlternateContent>
  <xr:revisionPtr revIDLastSave="0" documentId="13_ncr:1_{C5758E2A-FEC9-4F92-931E-B4FF22D5EB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Sheet1!$B$1:$B$371</definedName>
    <definedName name="_xlnm.Print_Area" localSheetId="0">Sheet1!$A$1:$W$367</definedName>
    <definedName name="_xlnm.Print_Titles" localSheetId="0">Sheet1!$11:$11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2" i="1" l="1"/>
  <c r="G82" i="1"/>
  <c r="H82" i="1" s="1"/>
  <c r="M82" i="1" s="1"/>
  <c r="E83" i="1" s="1"/>
  <c r="O83" i="1" s="1"/>
  <c r="T173" i="1"/>
  <c r="Q174" i="1"/>
  <c r="T161" i="1"/>
  <c r="T165" i="1"/>
  <c r="T169" i="1"/>
  <c r="Q162" i="1"/>
  <c r="T134" i="1"/>
  <c r="T138" i="1"/>
  <c r="T142" i="1"/>
  <c r="T146" i="1"/>
  <c r="T157" i="1"/>
  <c r="T150" i="1"/>
  <c r="T153" i="1"/>
  <c r="S153" i="1"/>
  <c r="Q158" i="1"/>
  <c r="Q154" i="1"/>
  <c r="Q151" i="1"/>
  <c r="Q147" i="1"/>
  <c r="Q143" i="1"/>
  <c r="Q139" i="1"/>
  <c r="S134" i="1"/>
  <c r="Q135" i="1"/>
  <c r="T130" i="1"/>
  <c r="T18" i="1"/>
  <c r="T26" i="1"/>
  <c r="T23" i="1"/>
  <c r="T38" i="1"/>
  <c r="T46" i="1"/>
  <c r="T50" i="1"/>
  <c r="T54" i="1"/>
  <c r="T58" i="1"/>
  <c r="T62" i="1"/>
  <c r="T70" i="1"/>
  <c r="T66" i="1"/>
  <c r="T78" i="1"/>
  <c r="T74" i="1"/>
  <c r="T82" i="1"/>
  <c r="T86" i="1"/>
  <c r="T90" i="1"/>
  <c r="W96" i="1"/>
  <c r="T94" i="1"/>
  <c r="T98" i="1"/>
  <c r="T102" i="1"/>
  <c r="T106" i="1"/>
  <c r="T114" i="1"/>
  <c r="T118" i="1"/>
  <c r="T122" i="1"/>
  <c r="T126" i="1"/>
  <c r="Q131" i="1"/>
  <c r="Q127" i="1"/>
  <c r="Q123" i="1"/>
  <c r="Q119" i="1"/>
  <c r="Q115" i="1"/>
  <c r="Q111" i="1"/>
  <c r="Q107" i="1"/>
  <c r="Q103" i="1"/>
  <c r="Q99" i="1"/>
  <c r="Q95" i="1"/>
  <c r="Q91" i="1"/>
  <c r="Q87" i="1"/>
  <c r="Q83" i="1"/>
  <c r="Q79" i="1"/>
  <c r="Q75" i="1"/>
  <c r="Q71" i="1"/>
  <c r="Q67" i="1"/>
  <c r="Q63" i="1"/>
  <c r="Q59" i="1"/>
  <c r="Q55" i="1"/>
  <c r="Q51" i="1"/>
  <c r="I82" i="1" l="1"/>
  <c r="O82" i="1" s="1"/>
  <c r="J82" i="1"/>
  <c r="K82" i="1"/>
  <c r="Q35" i="1"/>
  <c r="T30" i="1" l="1"/>
  <c r="Q31" i="1"/>
  <c r="Q27" i="1"/>
  <c r="Q24" i="1"/>
  <c r="Q19" i="1"/>
  <c r="Q308" i="1" l="1"/>
  <c r="T307" i="1" s="1"/>
  <c r="Q43" i="1"/>
  <c r="T42" i="1" s="1"/>
  <c r="N42" i="1"/>
  <c r="G42" i="1"/>
  <c r="H42" i="1" s="1"/>
  <c r="M42" i="1" s="1"/>
  <c r="E43" i="1" s="1"/>
  <c r="O43" i="1" s="1"/>
  <c r="N46" i="1"/>
  <c r="G46" i="1"/>
  <c r="H46" i="1" s="1"/>
  <c r="M46" i="1" s="1"/>
  <c r="E47" i="1" s="1"/>
  <c r="O47" i="1" s="1"/>
  <c r="N307" i="1"/>
  <c r="E307" i="1"/>
  <c r="G307" i="1" s="1"/>
  <c r="Q47" i="1"/>
  <c r="Q39" i="1"/>
  <c r="I42" i="1" l="1"/>
  <c r="J42" i="1"/>
  <c r="K42" i="1"/>
  <c r="J46" i="1"/>
  <c r="K46" i="1"/>
  <c r="I46" i="1"/>
  <c r="H307" i="1"/>
  <c r="M307" i="1" s="1"/>
  <c r="E308" i="1" s="1"/>
  <c r="O308" i="1" s="1"/>
  <c r="K307" i="1"/>
  <c r="J307" i="1"/>
  <c r="I307" i="1" l="1"/>
  <c r="O307" i="1" s="1"/>
  <c r="O46" i="1"/>
  <c r="O42" i="1"/>
  <c r="W44" i="1" s="1"/>
  <c r="T283" i="1"/>
  <c r="N30" i="1"/>
  <c r="N110" i="1"/>
  <c r="G30" i="1" l="1"/>
  <c r="K30" i="1" s="1"/>
  <c r="H30" i="1" l="1"/>
  <c r="M30" i="1" s="1"/>
  <c r="E31" i="1" s="1"/>
  <c r="O31" i="1" s="1"/>
  <c r="J30" i="1"/>
  <c r="I30" i="1" l="1"/>
  <c r="O30" i="1" s="1"/>
  <c r="G110" i="1"/>
  <c r="K110" i="1" s="1"/>
  <c r="N78" i="1"/>
  <c r="G78" i="1"/>
  <c r="J78" i="1" s="1"/>
  <c r="H110" i="1" l="1"/>
  <c r="M110" i="1" s="1"/>
  <c r="E111" i="1" s="1"/>
  <c r="O111" i="1" s="1"/>
  <c r="J110" i="1"/>
  <c r="K78" i="1"/>
  <c r="H78" i="1"/>
  <c r="M78" i="1" s="1"/>
  <c r="E79" i="1" s="1"/>
  <c r="O79" i="1" s="1"/>
  <c r="I78" i="1" l="1"/>
  <c r="O78" i="1" s="1"/>
  <c r="I110" i="1"/>
  <c r="O110" i="1" s="1"/>
  <c r="G169" i="1" l="1"/>
  <c r="H169" i="1" s="1"/>
  <c r="M169" i="1" s="1"/>
  <c r="E170" i="1" s="1"/>
  <c r="O170" i="1" s="1"/>
  <c r="G38" i="1"/>
  <c r="J38" i="1" s="1"/>
  <c r="I169" i="1" l="1"/>
  <c r="N169" i="1"/>
  <c r="J169" i="1"/>
  <c r="K169" i="1"/>
  <c r="K38" i="1"/>
  <c r="H38" i="1"/>
  <c r="M38" i="1" s="1"/>
  <c r="E39" i="1" s="1"/>
  <c r="O39" i="1" s="1"/>
  <c r="I38" i="1" l="1"/>
  <c r="O38" i="1" s="1"/>
  <c r="W40" i="1" s="1"/>
  <c r="O169" i="1"/>
  <c r="W171" i="1" s="1"/>
  <c r="N296" i="1"/>
  <c r="G296" i="1"/>
  <c r="N98" i="1"/>
  <c r="G98" i="1"/>
  <c r="K98" i="1" s="1"/>
  <c r="S130" i="1"/>
  <c r="S146" i="1"/>
  <c r="N283" i="1"/>
  <c r="H296" i="1" l="1"/>
  <c r="M296" i="1" s="1"/>
  <c r="E297" i="1" s="1"/>
  <c r="O297" i="1" s="1"/>
  <c r="J296" i="1"/>
  <c r="K296" i="1"/>
  <c r="H98" i="1"/>
  <c r="M98" i="1" s="1"/>
  <c r="E99" i="1" s="1"/>
  <c r="O99" i="1" s="1"/>
  <c r="J98" i="1"/>
  <c r="G283" i="1"/>
  <c r="N118" i="1"/>
  <c r="G118" i="1"/>
  <c r="H118" i="1" s="1"/>
  <c r="I296" i="1" l="1"/>
  <c r="O296" i="1" s="1"/>
  <c r="I98" i="1"/>
  <c r="O98" i="1" s="1"/>
  <c r="J283" i="1"/>
  <c r="K283" i="1"/>
  <c r="H283" i="1"/>
  <c r="M283" i="1" s="1"/>
  <c r="E284" i="1" s="1"/>
  <c r="O284" i="1" s="1"/>
  <c r="J118" i="1"/>
  <c r="M118" i="1"/>
  <c r="E119" i="1" s="1"/>
  <c r="O119" i="1" s="1"/>
  <c r="I118" i="1"/>
  <c r="K118" i="1"/>
  <c r="N114" i="1"/>
  <c r="G114" i="1"/>
  <c r="H114" i="1" s="1"/>
  <c r="N86" i="1"/>
  <c r="G86" i="1"/>
  <c r="K86" i="1" s="1"/>
  <c r="N122" i="1"/>
  <c r="G122" i="1"/>
  <c r="S54" i="1"/>
  <c r="G197" i="1"/>
  <c r="H197" i="1" s="1"/>
  <c r="M197" i="1" s="1"/>
  <c r="E198" i="1" s="1"/>
  <c r="O198" i="1" s="1"/>
  <c r="G153" i="1"/>
  <c r="K153" i="1" s="1"/>
  <c r="G106" i="1"/>
  <c r="J106" i="1" s="1"/>
  <c r="G146" i="1"/>
  <c r="K146" i="1" s="1"/>
  <c r="G94" i="1"/>
  <c r="G205" i="1"/>
  <c r="K205" i="1" s="1"/>
  <c r="I283" i="1" l="1"/>
  <c r="O283" i="1" s="1"/>
  <c r="W287" i="1" s="1"/>
  <c r="H153" i="1"/>
  <c r="M153" i="1" s="1"/>
  <c r="E154" i="1" s="1"/>
  <c r="O154" i="1" s="1"/>
  <c r="O118" i="1"/>
  <c r="J114" i="1"/>
  <c r="M114" i="1"/>
  <c r="E115" i="1" s="1"/>
  <c r="O115" i="1" s="1"/>
  <c r="I114" i="1"/>
  <c r="K114" i="1"/>
  <c r="H86" i="1"/>
  <c r="M86" i="1" s="1"/>
  <c r="E87" i="1" s="1"/>
  <c r="O87" i="1" s="1"/>
  <c r="J86" i="1"/>
  <c r="J122" i="1"/>
  <c r="K122" i="1"/>
  <c r="H122" i="1"/>
  <c r="M122" i="1" s="1"/>
  <c r="E123" i="1" s="1"/>
  <c r="O123" i="1" s="1"/>
  <c r="I197" i="1"/>
  <c r="N197" i="1"/>
  <c r="J197" i="1"/>
  <c r="K197" i="1"/>
  <c r="J153" i="1"/>
  <c r="H146" i="1"/>
  <c r="I146" i="1" s="1"/>
  <c r="J146" i="1"/>
  <c r="N146" i="1"/>
  <c r="N153" i="1"/>
  <c r="K106" i="1"/>
  <c r="H106" i="1"/>
  <c r="M106" i="1" s="1"/>
  <c r="E107" i="1" s="1"/>
  <c r="O107" i="1" s="1"/>
  <c r="H94" i="1"/>
  <c r="I94" i="1" s="1"/>
  <c r="J94" i="1"/>
  <c r="K94" i="1"/>
  <c r="H205" i="1"/>
  <c r="M205" i="1" s="1"/>
  <c r="E206" i="1" s="1"/>
  <c r="O206" i="1" s="1"/>
  <c r="J205" i="1"/>
  <c r="I153" i="1" l="1"/>
  <c r="O153" i="1" s="1"/>
  <c r="I86" i="1"/>
  <c r="O86" i="1" s="1"/>
  <c r="M146" i="1"/>
  <c r="E147" i="1" s="1"/>
  <c r="O114" i="1"/>
  <c r="F364" i="1"/>
  <c r="I122" i="1"/>
  <c r="O122" i="1" s="1"/>
  <c r="O197" i="1"/>
  <c r="M94" i="1"/>
  <c r="E95" i="1" s="1"/>
  <c r="O95" i="1" s="1"/>
  <c r="I106" i="1"/>
  <c r="O106" i="1" s="1"/>
  <c r="O146" i="1"/>
  <c r="I205" i="1"/>
  <c r="O205" i="1" s="1"/>
  <c r="G213" i="1"/>
  <c r="K213" i="1" s="1"/>
  <c r="G165" i="1"/>
  <c r="N165" i="1" s="1"/>
  <c r="Q338" i="1"/>
  <c r="T337" i="1" s="1"/>
  <c r="Q279" i="1"/>
  <c r="T278" i="1" s="1"/>
  <c r="G278" i="1"/>
  <c r="K278" i="1" s="1"/>
  <c r="G138" i="1"/>
  <c r="N138" i="1" s="1"/>
  <c r="O94" i="1" l="1"/>
  <c r="N213" i="1"/>
  <c r="N278" i="1"/>
  <c r="H165" i="1"/>
  <c r="M165" i="1" s="1"/>
  <c r="E166" i="1" s="1"/>
  <c r="O166" i="1" s="1"/>
  <c r="O147" i="1"/>
  <c r="H213" i="1"/>
  <c r="M213" i="1" s="1"/>
  <c r="E214" i="1" s="1"/>
  <c r="O214" i="1" s="1"/>
  <c r="J213" i="1"/>
  <c r="J165" i="1"/>
  <c r="K165" i="1"/>
  <c r="H278" i="1"/>
  <c r="M278" i="1" s="1"/>
  <c r="E279" i="1" s="1"/>
  <c r="O279" i="1" s="1"/>
  <c r="J278" i="1"/>
  <c r="H138" i="1"/>
  <c r="M138" i="1" s="1"/>
  <c r="E139" i="1" s="1"/>
  <c r="O139" i="1" s="1"/>
  <c r="J138" i="1"/>
  <c r="K138" i="1"/>
  <c r="I213" i="1" l="1"/>
  <c r="O213" i="1" s="1"/>
  <c r="I278" i="1"/>
  <c r="O278" i="1" s="1"/>
  <c r="W281" i="1" s="1"/>
  <c r="I165" i="1"/>
  <c r="O165" i="1" s="1"/>
  <c r="W167" i="1" s="1"/>
  <c r="I138" i="1"/>
  <c r="O138" i="1" s="1"/>
  <c r="G337" i="1" l="1"/>
  <c r="K337" i="1" s="1"/>
  <c r="N337" i="1" l="1"/>
  <c r="H337" i="1"/>
  <c r="M337" i="1" s="1"/>
  <c r="E338" i="1" s="1"/>
  <c r="O338" i="1" s="1"/>
  <c r="J337" i="1"/>
  <c r="G237" i="1"/>
  <c r="J237" i="1" s="1"/>
  <c r="G241" i="1"/>
  <c r="J241" i="1" s="1"/>
  <c r="G157" i="1"/>
  <c r="J157" i="1" s="1"/>
  <c r="G324" i="1"/>
  <c r="N324" i="1" s="1"/>
  <c r="G233" i="1"/>
  <c r="H233" i="1" s="1"/>
  <c r="G161" i="1"/>
  <c r="J161" i="1" s="1"/>
  <c r="G229" i="1"/>
  <c r="N229" i="1" s="1"/>
  <c r="G130" i="1"/>
  <c r="H130" i="1" l="1"/>
  <c r="M130" i="1" s="1"/>
  <c r="E131" i="1" s="1"/>
  <c r="I337" i="1"/>
  <c r="O337" i="1" s="1"/>
  <c r="W341" i="1" s="1"/>
  <c r="N130" i="1"/>
  <c r="J130" i="1"/>
  <c r="J229" i="1"/>
  <c r="J233" i="1"/>
  <c r="N233" i="1"/>
  <c r="K237" i="1"/>
  <c r="H237" i="1"/>
  <c r="M237" i="1" s="1"/>
  <c r="E238" i="1" s="1"/>
  <c r="O238" i="1" s="1"/>
  <c r="N237" i="1"/>
  <c r="K241" i="1"/>
  <c r="H241" i="1"/>
  <c r="N241" i="1"/>
  <c r="K157" i="1"/>
  <c r="H157" i="1"/>
  <c r="M157" i="1" s="1"/>
  <c r="E158" i="1" s="1"/>
  <c r="O158" i="1" s="1"/>
  <c r="N157" i="1"/>
  <c r="J324" i="1"/>
  <c r="K324" i="1"/>
  <c r="H324" i="1"/>
  <c r="M233" i="1"/>
  <c r="E234" i="1" s="1"/>
  <c r="O234" i="1" s="1"/>
  <c r="I233" i="1"/>
  <c r="K233" i="1"/>
  <c r="K161" i="1"/>
  <c r="H161" i="1"/>
  <c r="M161" i="1" s="1"/>
  <c r="E162" i="1" s="1"/>
  <c r="O162" i="1" s="1"/>
  <c r="N161" i="1"/>
  <c r="K229" i="1"/>
  <c r="H229" i="1"/>
  <c r="K130" i="1"/>
  <c r="G134" i="1"/>
  <c r="N134" i="1" s="1"/>
  <c r="G254" i="1"/>
  <c r="J254" i="1" s="1"/>
  <c r="G319" i="1"/>
  <c r="N319" i="1" s="1"/>
  <c r="G245" i="1"/>
  <c r="N245" i="1" s="1"/>
  <c r="G142" i="1"/>
  <c r="K142" i="1" s="1"/>
  <c r="G225" i="1"/>
  <c r="K225" i="1" s="1"/>
  <c r="G189" i="1"/>
  <c r="N189" i="1" s="1"/>
  <c r="I237" i="1" l="1"/>
  <c r="I130" i="1"/>
  <c r="O130" i="1" s="1"/>
  <c r="O131" i="1"/>
  <c r="J189" i="1"/>
  <c r="K189" i="1"/>
  <c r="O237" i="1"/>
  <c r="I241" i="1"/>
  <c r="M241" i="1"/>
  <c r="E242" i="1" s="1"/>
  <c r="O242" i="1" s="1"/>
  <c r="I157" i="1"/>
  <c r="O157" i="1" s="1"/>
  <c r="I324" i="1"/>
  <c r="M324" i="1"/>
  <c r="E325" i="1" s="1"/>
  <c r="O325" i="1" s="1"/>
  <c r="O233" i="1"/>
  <c r="I161" i="1"/>
  <c r="O161" i="1" s="1"/>
  <c r="I229" i="1"/>
  <c r="M229" i="1"/>
  <c r="E230" i="1" s="1"/>
  <c r="O230" i="1" s="1"/>
  <c r="N225" i="1"/>
  <c r="H189" i="1"/>
  <c r="M189" i="1" s="1"/>
  <c r="E190" i="1" s="1"/>
  <c r="O190" i="1" s="1"/>
  <c r="N142" i="1"/>
  <c r="H134" i="1"/>
  <c r="M134" i="1" s="1"/>
  <c r="E135" i="1" s="1"/>
  <c r="O135" i="1" s="1"/>
  <c r="J134" i="1"/>
  <c r="K134" i="1"/>
  <c r="K254" i="1"/>
  <c r="N254" i="1"/>
  <c r="H254" i="1"/>
  <c r="M254" i="1" s="1"/>
  <c r="E255" i="1" s="1"/>
  <c r="O255" i="1" s="1"/>
  <c r="H319" i="1"/>
  <c r="M319" i="1" s="1"/>
  <c r="E320" i="1" s="1"/>
  <c r="O320" i="1" s="1"/>
  <c r="J319" i="1"/>
  <c r="K319" i="1"/>
  <c r="H245" i="1"/>
  <c r="M245" i="1" s="1"/>
  <c r="E246" i="1" s="1"/>
  <c r="O246" i="1" s="1"/>
  <c r="J245" i="1"/>
  <c r="K245" i="1"/>
  <c r="H142" i="1"/>
  <c r="M142" i="1" s="1"/>
  <c r="E143" i="1" s="1"/>
  <c r="O143" i="1" s="1"/>
  <c r="J142" i="1"/>
  <c r="H225" i="1"/>
  <c r="M225" i="1" s="1"/>
  <c r="E226" i="1" s="1"/>
  <c r="O226" i="1" s="1"/>
  <c r="J225" i="1"/>
  <c r="W28" i="1"/>
  <c r="W24" i="1"/>
  <c r="W151" i="1"/>
  <c r="W16" i="1"/>
  <c r="W19" i="1"/>
  <c r="W132" i="1" l="1"/>
  <c r="I142" i="1"/>
  <c r="O142" i="1" s="1"/>
  <c r="I245" i="1"/>
  <c r="O241" i="1"/>
  <c r="W243" i="1" s="1"/>
  <c r="I189" i="1"/>
  <c r="O189" i="1" s="1"/>
  <c r="O324" i="1"/>
  <c r="O229" i="1"/>
  <c r="W231" i="1" s="1"/>
  <c r="I319" i="1"/>
  <c r="O319" i="1" s="1"/>
  <c r="I134" i="1"/>
  <c r="O134" i="1" s="1"/>
  <c r="I254" i="1"/>
  <c r="O254" i="1" s="1"/>
  <c r="O245" i="1"/>
  <c r="W247" i="1" s="1"/>
  <c r="I225" i="1"/>
  <c r="O225" i="1" s="1"/>
  <c r="W226" i="1" s="1"/>
  <c r="R364" i="1"/>
  <c r="B7" i="1" s="1"/>
  <c r="S27" i="1"/>
  <c r="S26" i="1"/>
  <c r="S24" i="1"/>
  <c r="S23" i="1"/>
  <c r="S19" i="1"/>
  <c r="S18" i="1"/>
  <c r="S16" i="1"/>
  <c r="S15" i="1"/>
  <c r="T15" i="1"/>
  <c r="S151" i="1"/>
  <c r="S150" i="1"/>
  <c r="P149" i="1" l="1"/>
  <c r="P25" i="1"/>
  <c r="P22" i="1"/>
  <c r="P17" i="1"/>
  <c r="P14" i="1"/>
  <c r="S142" i="1" l="1"/>
  <c r="U142" i="1" s="1"/>
  <c r="W144" i="1" s="1"/>
  <c r="S126" i="1"/>
  <c r="S122" i="1"/>
  <c r="S118" i="1"/>
  <c r="S106" i="1"/>
  <c r="S58" i="1" l="1"/>
  <c r="U58" i="1" s="1"/>
  <c r="S62" i="1"/>
  <c r="U62" i="1" s="1"/>
  <c r="S43" i="1"/>
  <c r="S38" i="1"/>
  <c r="S34" i="1"/>
  <c r="S30" i="1"/>
  <c r="S95" i="1" l="1"/>
  <c r="S92" i="1"/>
  <c r="S71" i="1"/>
  <c r="S79" i="1"/>
  <c r="S91" i="1" l="1"/>
  <c r="Q364" i="1"/>
  <c r="T34" i="1"/>
  <c r="T110" i="1"/>
  <c r="T177" i="1"/>
  <c r="T181" i="1"/>
  <c r="T185" i="1"/>
  <c r="T193" i="1"/>
  <c r="T189" i="1"/>
  <c r="T197" i="1"/>
  <c r="T201" i="1"/>
  <c r="T205" i="1"/>
  <c r="T209" i="1"/>
  <c r="T213" i="1"/>
  <c r="T217" i="1"/>
  <c r="T221" i="1"/>
  <c r="T225" i="1"/>
  <c r="T229" i="1"/>
  <c r="T233" i="1"/>
  <c r="T237" i="1"/>
  <c r="T241" i="1"/>
  <c r="T245" i="1"/>
  <c r="T249" i="1"/>
  <c r="T254" i="1"/>
  <c r="T260" i="1"/>
  <c r="T267" i="1"/>
  <c r="T273" i="1"/>
  <c r="T289" i="1"/>
  <c r="T296" i="1"/>
  <c r="T302" i="1"/>
  <c r="T315" i="1"/>
  <c r="T319" i="1"/>
  <c r="T324" i="1"/>
  <c r="T330" i="1"/>
  <c r="T343" i="1"/>
  <c r="T354" i="1"/>
  <c r="S234" i="1"/>
  <c r="S225" i="1"/>
  <c r="S238" i="1"/>
  <c r="S237" i="1"/>
  <c r="S242" i="1"/>
  <c r="S241" i="1"/>
  <c r="S246" i="1"/>
  <c r="S245" i="1"/>
  <c r="S230" i="1"/>
  <c r="S229" i="1"/>
  <c r="S233" i="1"/>
  <c r="S222" i="1"/>
  <c r="S221" i="1"/>
  <c r="S218" i="1"/>
  <c r="S217" i="1"/>
  <c r="S214" i="1"/>
  <c r="S213" i="1"/>
  <c r="S210" i="1"/>
  <c r="S209" i="1"/>
  <c r="S206" i="1"/>
  <c r="S205" i="1"/>
  <c r="S202" i="1"/>
  <c r="S201" i="1"/>
  <c r="S198" i="1"/>
  <c r="S197" i="1"/>
  <c r="S194" i="1"/>
  <c r="S193" i="1"/>
  <c r="S190" i="1"/>
  <c r="S189" i="1"/>
  <c r="U189" i="1" s="1"/>
  <c r="S185" i="1"/>
  <c r="S178" i="1"/>
  <c r="S177" i="1"/>
  <c r="S174" i="1"/>
  <c r="S173" i="1"/>
  <c r="S169" i="1"/>
  <c r="S165" i="1"/>
  <c r="S161" i="1"/>
  <c r="S157" i="1"/>
  <c r="S138" i="1"/>
  <c r="S114" i="1"/>
  <c r="S110" i="1"/>
  <c r="S102" i="1"/>
  <c r="S86" i="1"/>
  <c r="S94" i="1"/>
  <c r="S98" i="1"/>
  <c r="S90" i="1"/>
  <c r="S87" i="1"/>
  <c r="S83" i="1"/>
  <c r="S82" i="1"/>
  <c r="S78" i="1"/>
  <c r="S74" i="1"/>
  <c r="S70" i="1"/>
  <c r="S66" i="1"/>
  <c r="S50" i="1"/>
  <c r="S46" i="1"/>
  <c r="S42" i="1"/>
  <c r="W191" i="1" l="1"/>
  <c r="T364" i="1"/>
  <c r="W235" i="1"/>
  <c r="W215" i="1"/>
  <c r="W32" i="1"/>
  <c r="W36" i="1"/>
  <c r="W48" i="1"/>
  <c r="W52" i="1"/>
  <c r="W56" i="1"/>
  <c r="W60" i="1"/>
  <c r="W64" i="1"/>
  <c r="W68" i="1"/>
  <c r="W72" i="1"/>
  <c r="W76" i="1"/>
  <c r="W80" i="1"/>
  <c r="W84" i="1"/>
  <c r="W88" i="1"/>
  <c r="W92" i="1"/>
  <c r="W100" i="1"/>
  <c r="W104" i="1"/>
  <c r="W108" i="1"/>
  <c r="W112" i="1"/>
  <c r="W120" i="1"/>
  <c r="W116" i="1"/>
  <c r="W124" i="1"/>
  <c r="W128" i="1"/>
  <c r="W136" i="1"/>
  <c r="W140" i="1"/>
  <c r="W148" i="1"/>
  <c r="W155" i="1"/>
  <c r="W159" i="1"/>
  <c r="W163" i="1"/>
  <c r="W199" i="1"/>
  <c r="W207" i="1"/>
  <c r="W238" i="1"/>
  <c r="G181" i="1"/>
  <c r="K181" i="1" s="1"/>
  <c r="J181" i="1" l="1"/>
  <c r="H181" i="1"/>
  <c r="M181" i="1" s="1"/>
  <c r="E182" i="1" s="1"/>
  <c r="O182" i="1" s="1"/>
  <c r="G193" i="1"/>
  <c r="G209" i="1"/>
  <c r="G249" i="1"/>
  <c r="K249" i="1" s="1"/>
  <c r="G260" i="1"/>
  <c r="K260" i="1" s="1"/>
  <c r="G267" i="1"/>
  <c r="K267" i="1" s="1"/>
  <c r="G273" i="1"/>
  <c r="G302" i="1"/>
  <c r="G315" i="1"/>
  <c r="G331" i="1"/>
  <c r="H331" i="1" s="1"/>
  <c r="G355" i="1"/>
  <c r="K355" i="1" s="1"/>
  <c r="K273" i="1" l="1"/>
  <c r="N273" i="1"/>
  <c r="K209" i="1"/>
  <c r="N209" i="1"/>
  <c r="K315" i="1"/>
  <c r="N315" i="1"/>
  <c r="J302" i="1"/>
  <c r="N302" i="1"/>
  <c r="K193" i="1"/>
  <c r="N193" i="1"/>
  <c r="I331" i="1"/>
  <c r="M331" i="1"/>
  <c r="K331" i="1"/>
  <c r="J331" i="1"/>
  <c r="J355" i="1"/>
  <c r="H355" i="1"/>
  <c r="M355" i="1" s="1"/>
  <c r="I181" i="1"/>
  <c r="O181" i="1" s="1"/>
  <c r="W183" i="1" s="1"/>
  <c r="H193" i="1"/>
  <c r="M193" i="1" s="1"/>
  <c r="E194" i="1" s="1"/>
  <c r="O194" i="1" s="1"/>
  <c r="J193" i="1"/>
  <c r="H209" i="1"/>
  <c r="M209" i="1" s="1"/>
  <c r="E210" i="1" s="1"/>
  <c r="O210" i="1" s="1"/>
  <c r="J209" i="1"/>
  <c r="H249" i="1"/>
  <c r="M249" i="1" s="1"/>
  <c r="E250" i="1" s="1"/>
  <c r="O250" i="1" s="1"/>
  <c r="J249" i="1"/>
  <c r="J260" i="1"/>
  <c r="H260" i="1"/>
  <c r="M260" i="1" s="1"/>
  <c r="E261" i="1" s="1"/>
  <c r="O261" i="1" s="1"/>
  <c r="H267" i="1"/>
  <c r="M267" i="1" s="1"/>
  <c r="E268" i="1" s="1"/>
  <c r="O268" i="1" s="1"/>
  <c r="J267" i="1"/>
  <c r="H273" i="1"/>
  <c r="M273" i="1" s="1"/>
  <c r="E274" i="1" s="1"/>
  <c r="O274" i="1" s="1"/>
  <c r="J273" i="1"/>
  <c r="K302" i="1"/>
  <c r="H302" i="1"/>
  <c r="M302" i="1" s="1"/>
  <c r="E303" i="1" s="1"/>
  <c r="O303" i="1" s="1"/>
  <c r="H315" i="1"/>
  <c r="M315" i="1" s="1"/>
  <c r="E316" i="1" s="1"/>
  <c r="O316" i="1" s="1"/>
  <c r="J315" i="1"/>
  <c r="O331" i="1" l="1"/>
  <c r="I267" i="1"/>
  <c r="O267" i="1" s="1"/>
  <c r="I315" i="1"/>
  <c r="O315" i="1" s="1"/>
  <c r="I355" i="1"/>
  <c r="O355" i="1" s="1"/>
  <c r="I209" i="1"/>
  <c r="O209" i="1" s="1"/>
  <c r="W211" i="1" s="1"/>
  <c r="I249" i="1"/>
  <c r="O249" i="1" s="1"/>
  <c r="I193" i="1"/>
  <c r="O193" i="1" s="1"/>
  <c r="W195" i="1" s="1"/>
  <c r="I260" i="1"/>
  <c r="O260" i="1" s="1"/>
  <c r="I273" i="1"/>
  <c r="O273" i="1" s="1"/>
  <c r="I302" i="1"/>
  <c r="O302" i="1" s="1"/>
  <c r="G221" i="1" l="1"/>
  <c r="K221" i="1" l="1"/>
  <c r="N221" i="1"/>
  <c r="H221" i="1"/>
  <c r="M221" i="1" s="1"/>
  <c r="E222" i="1" s="1"/>
  <c r="O222" i="1" s="1"/>
  <c r="J221" i="1"/>
  <c r="I221" i="1" l="1"/>
  <c r="O221" i="1" s="1"/>
  <c r="W222" i="1" s="1"/>
  <c r="G201" i="1" l="1"/>
  <c r="K201" i="1" l="1"/>
  <c r="H201" i="1"/>
  <c r="M201" i="1" s="1"/>
  <c r="E202" i="1" s="1"/>
  <c r="O202" i="1" s="1"/>
  <c r="J201" i="1"/>
  <c r="I201" i="1" l="1"/>
  <c r="O201" i="1" s="1"/>
  <c r="W203" i="1" s="1"/>
  <c r="G173" i="1"/>
  <c r="G217" i="1"/>
  <c r="K217" i="1" l="1"/>
  <c r="N217" i="1"/>
  <c r="N364" i="1" s="1"/>
  <c r="J173" i="1"/>
  <c r="K173" i="1"/>
  <c r="H173" i="1"/>
  <c r="H217" i="1"/>
  <c r="M217" i="1" s="1"/>
  <c r="E218" i="1" s="1"/>
  <c r="O218" i="1" s="1"/>
  <c r="J217" i="1"/>
  <c r="B6" i="1" l="1"/>
  <c r="K373" i="1"/>
  <c r="M173" i="1"/>
  <c r="I173" i="1"/>
  <c r="I217" i="1"/>
  <c r="O217" i="1" s="1"/>
  <c r="W219" i="1" s="1"/>
  <c r="E174" i="1" l="1"/>
  <c r="O173" i="1"/>
  <c r="G185" i="1"/>
  <c r="J185" i="1" s="1"/>
  <c r="G177" i="1"/>
  <c r="G344" i="1"/>
  <c r="J344" i="1" s="1"/>
  <c r="O174" i="1" l="1"/>
  <c r="W175" i="1" s="1"/>
  <c r="K185" i="1"/>
  <c r="H185" i="1"/>
  <c r="M185" i="1" s="1"/>
  <c r="E186" i="1" s="1"/>
  <c r="O186" i="1" s="1"/>
  <c r="K177" i="1"/>
  <c r="J177" i="1"/>
  <c r="H177" i="1"/>
  <c r="K344" i="1"/>
  <c r="H344" i="1"/>
  <c r="M344" i="1" s="1"/>
  <c r="M177" i="1" l="1"/>
  <c r="I185" i="1"/>
  <c r="O185" i="1" s="1"/>
  <c r="W187" i="1" s="1"/>
  <c r="I177" i="1"/>
  <c r="I344" i="1"/>
  <c r="O344" i="1" s="1"/>
  <c r="S256" i="1"/>
  <c r="U256" i="1" s="1"/>
  <c r="E178" i="1" l="1"/>
  <c r="O177" i="1"/>
  <c r="S251" i="1"/>
  <c r="U251" i="1" s="1"/>
  <c r="S262" i="1"/>
  <c r="U262" i="1" s="1"/>
  <c r="S269" i="1"/>
  <c r="U269" i="1" s="1"/>
  <c r="S275" i="1"/>
  <c r="U275" i="1" s="1"/>
  <c r="S299" i="1"/>
  <c r="U299" i="1" s="1"/>
  <c r="S274" i="1"/>
  <c r="U274" i="1" s="1"/>
  <c r="S268" i="1"/>
  <c r="U268" i="1" s="1"/>
  <c r="S261" i="1"/>
  <c r="U261" i="1" s="1"/>
  <c r="S255" i="1"/>
  <c r="U255" i="1" s="1"/>
  <c r="S250" i="1"/>
  <c r="U250" i="1" s="1"/>
  <c r="S249" i="1"/>
  <c r="U249" i="1" s="1"/>
  <c r="O178" i="1" l="1"/>
  <c r="W179" i="1" s="1"/>
  <c r="W252" i="1"/>
  <c r="S317" i="1"/>
  <c r="U317" i="1" s="1"/>
  <c r="S254" i="1"/>
  <c r="U254" i="1" s="1"/>
  <c r="W258" i="1" s="1"/>
  <c r="S260" i="1"/>
  <c r="U260" i="1" s="1"/>
  <c r="W265" i="1" s="1"/>
  <c r="S267" i="1"/>
  <c r="U267" i="1" s="1"/>
  <c r="S273" i="1"/>
  <c r="U273" i="1" s="1"/>
  <c r="S298" i="1"/>
  <c r="U298" i="1" s="1"/>
  <c r="S297" i="1"/>
  <c r="U297" i="1" s="1"/>
  <c r="S296" i="1"/>
  <c r="U296" i="1" s="1"/>
  <c r="S334" i="1"/>
  <c r="U334" i="1" s="1"/>
  <c r="S316" i="1"/>
  <c r="U316" i="1" s="1"/>
  <c r="S315" i="1"/>
  <c r="U315" i="1" s="1"/>
  <c r="S322" i="1"/>
  <c r="U322" i="1" s="1"/>
  <c r="S321" i="1"/>
  <c r="U321" i="1" s="1"/>
  <c r="S320" i="1"/>
  <c r="U320" i="1" s="1"/>
  <c r="S319" i="1"/>
  <c r="U319" i="1" s="1"/>
  <c r="S362" i="1"/>
  <c r="S361" i="1"/>
  <c r="U361" i="1" s="1"/>
  <c r="S360" i="1"/>
  <c r="U360" i="1" s="1"/>
  <c r="S358" i="1"/>
  <c r="U358" i="1" s="1"/>
  <c r="S357" i="1"/>
  <c r="U357" i="1" s="1"/>
  <c r="S356" i="1"/>
  <c r="U356" i="1" s="1"/>
  <c r="S355" i="1"/>
  <c r="U355" i="1" s="1"/>
  <c r="S354" i="1"/>
  <c r="U354" i="1" s="1"/>
  <c r="U348" i="1"/>
  <c r="S352" i="1"/>
  <c r="U352" i="1" s="1"/>
  <c r="S350" i="1"/>
  <c r="U350" i="1" s="1"/>
  <c r="S351" i="1"/>
  <c r="U351" i="1" s="1"/>
  <c r="S349" i="1"/>
  <c r="U349" i="1" s="1"/>
  <c r="S347" i="1"/>
  <c r="U347" i="1" s="1"/>
  <c r="S346" i="1"/>
  <c r="U346" i="1" s="1"/>
  <c r="S345" i="1"/>
  <c r="U345" i="1" s="1"/>
  <c r="S344" i="1"/>
  <c r="U344" i="1" s="1"/>
  <c r="S343" i="1"/>
  <c r="U343" i="1" s="1"/>
  <c r="S333" i="1"/>
  <c r="U333" i="1" s="1"/>
  <c r="S332" i="1"/>
  <c r="S330" i="1"/>
  <c r="U330" i="1" s="1"/>
  <c r="S327" i="1"/>
  <c r="U327" i="1" s="1"/>
  <c r="S326" i="1"/>
  <c r="U326" i="1" s="1"/>
  <c r="S325" i="1"/>
  <c r="U325" i="1" s="1"/>
  <c r="S324" i="1"/>
  <c r="U324" i="1" s="1"/>
  <c r="S313" i="1"/>
  <c r="U313" i="1" s="1"/>
  <c r="S305" i="1"/>
  <c r="U305" i="1" s="1"/>
  <c r="S312" i="1"/>
  <c r="U312" i="1" s="1"/>
  <c r="S311" i="1"/>
  <c r="U311" i="1" s="1"/>
  <c r="S310" i="1"/>
  <c r="U310" i="1" s="1"/>
  <c r="S309" i="1"/>
  <c r="U309" i="1" s="1"/>
  <c r="S308" i="1"/>
  <c r="U308" i="1" s="1"/>
  <c r="S307" i="1"/>
  <c r="U307" i="1" s="1"/>
  <c r="S293" i="1"/>
  <c r="U293" i="1" s="1"/>
  <c r="S304" i="1"/>
  <c r="U304" i="1" s="1"/>
  <c r="S303" i="1"/>
  <c r="U303" i="1" s="1"/>
  <c r="S302" i="1"/>
  <c r="U302" i="1" s="1"/>
  <c r="S290" i="1"/>
  <c r="U290" i="1" s="1"/>
  <c r="S291" i="1"/>
  <c r="U291" i="1" s="1"/>
  <c r="S292" i="1"/>
  <c r="U292" i="1" s="1"/>
  <c r="S289" i="1"/>
  <c r="U289" i="1" s="1"/>
  <c r="W313" i="1" l="1"/>
  <c r="W300" i="1"/>
  <c r="W305" i="1"/>
  <c r="W328" i="1"/>
  <c r="W322" i="1"/>
  <c r="W317" i="1"/>
  <c r="U362" i="1"/>
  <c r="S364" i="1"/>
  <c r="U332" i="1"/>
  <c r="W271" i="1"/>
  <c r="W276" i="1"/>
  <c r="U364" i="1" l="1"/>
  <c r="G330" i="1"/>
  <c r="L330" i="1" s="1"/>
  <c r="K330" i="1" l="1"/>
  <c r="J330" i="1"/>
  <c r="H330" i="1"/>
  <c r="M330" i="1" s="1"/>
  <c r="E332" i="1" s="1"/>
  <c r="O332" i="1" l="1"/>
  <c r="I330" i="1"/>
  <c r="O330" i="1" s="1"/>
  <c r="W335" i="1" s="1"/>
  <c r="G354" i="1" l="1"/>
  <c r="J354" i="1" l="1"/>
  <c r="K354" i="1"/>
  <c r="L354" i="1"/>
  <c r="H354" i="1"/>
  <c r="M354" i="1" s="1"/>
  <c r="E356" i="1" s="1"/>
  <c r="O356" i="1" l="1"/>
  <c r="I354" i="1"/>
  <c r="O354" i="1" s="1"/>
  <c r="W363" i="1" s="1"/>
  <c r="G343" i="1" l="1"/>
  <c r="L343" i="1" l="1"/>
  <c r="K343" i="1"/>
  <c r="H343" i="1"/>
  <c r="M343" i="1" s="1"/>
  <c r="E345" i="1" s="1"/>
  <c r="J343" i="1"/>
  <c r="O292" i="1"/>
  <c r="O345" i="1" l="1"/>
  <c r="E364" i="1"/>
  <c r="I343" i="1"/>
  <c r="O343" i="1" s="1"/>
  <c r="W352" i="1" l="1"/>
  <c r="G301" i="1"/>
  <c r="H301" i="1" s="1"/>
  <c r="G289" i="1"/>
  <c r="K289" i="1" l="1"/>
  <c r="K364" i="1" s="1"/>
  <c r="G364" i="1"/>
  <c r="L289" i="1"/>
  <c r="H289" i="1"/>
  <c r="H364" i="1" s="1"/>
  <c r="J289" i="1"/>
  <c r="I301" i="1"/>
  <c r="J301" i="1"/>
  <c r="J364" i="1" l="1"/>
  <c r="L364" i="1"/>
  <c r="K372" i="1" s="1"/>
  <c r="M289" i="1"/>
  <c r="M364" i="1" s="1"/>
  <c r="E365" i="1" s="1"/>
  <c r="E366" i="1" s="1"/>
  <c r="E367" i="1" s="1"/>
  <c r="B4" i="1"/>
  <c r="O301" i="1"/>
  <c r="I289" i="1"/>
  <c r="I364" i="1" s="1"/>
  <c r="B5" i="1" l="1"/>
  <c r="O289" i="1"/>
  <c r="W294" i="1" s="1"/>
  <c r="B3" i="1"/>
  <c r="W364" i="1" l="1"/>
  <c r="O364" i="1"/>
  <c r="U366" i="1" s="1"/>
  <c r="B8" i="1" s="1"/>
  <c r="K374" i="1" l="1"/>
  <c r="K375" i="1" s="1"/>
</calcChain>
</file>

<file path=xl/sharedStrings.xml><?xml version="1.0" encoding="utf-8"?>
<sst xmlns="http://schemas.openxmlformats.org/spreadsheetml/2006/main" count="373" uniqueCount="316">
  <si>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</si>
  <si>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</si>
  <si>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</si>
  <si>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</si>
  <si>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</si>
  <si>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</si>
  <si>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</si>
  <si>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</si>
  <si>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Total Amount Paid</t>
  </si>
  <si>
    <t>UTR</t>
  </si>
  <si>
    <t>SD (5%)</t>
  </si>
  <si>
    <t>TDS Amount @ 1% on BASIC AMOUNT</t>
  </si>
  <si>
    <t xml:space="preserve">Debit </t>
  </si>
  <si>
    <t>After Debit Amt</t>
  </si>
  <si>
    <t>Painting &amp; finishing</t>
  </si>
  <si>
    <t>TDS (1%)</t>
  </si>
  <si>
    <t>.</t>
  </si>
  <si>
    <t>05-07-2023 NEFT/AXISP00404073313/RIUP23/1002/SHREE RAM INFRA ₹ 4,90,000.00</t>
  </si>
  <si>
    <t>27-06-2023 NEFT/AXISP00401137692/RIUP23/917/SHREE RAM INFRAS 490000.00</t>
  </si>
  <si>
    <t>27-06-2023 NEFT/AXISP00401137691/RIUP23/916/SHREE RAM INFRAS 490000.00</t>
  </si>
  <si>
    <t>12-06-2023 NEFT/AXISP00397819480/RIUP23/619/SHREE RAM INFRAS 490000.00</t>
  </si>
  <si>
    <t>12-06-2023 NEFT/AXISP00397819481/RIUP23/618/SHREE RAM INFRAS 980000.00</t>
  </si>
  <si>
    <t>03-05-2023 NEFT/AXISP00387008157/RIUP23/088/SHREE RAM INFRAS ₹ 1,96,000.00</t>
  </si>
  <si>
    <t>15-05-2023 NEFT/AXISP00390167391/RIUP23/230/SHREE RAM INFRAS 294000.00</t>
  </si>
  <si>
    <t>29-05-2023 NEFT/AXISP00393085072/RIUP23/433/SHREE RAM INFRAS 490000.00</t>
  </si>
  <si>
    <t>02-06-2023 NEFT/AXISP00395151244/RIUP23/489/SHREE RAM INFRAS ₹ 1,96,000.00</t>
  </si>
  <si>
    <t>07-06-2023 NEFT/AXISP00396637620/RIUP23/562/SHREE RAM INFRAS 294000.00</t>
  </si>
  <si>
    <t>03-05-2023 NEFT/AXISP00387008159/RIUP23/087/SHREE RAM INFRAS ₹ 1,96,000.00</t>
  </si>
  <si>
    <t>15-05-2023 NEFT/AXISP00390167390/RIUP23/229/SHREE RAM INFRAS 196000.00</t>
  </si>
  <si>
    <t>29-05-2023 NEFT/AXISP00393085071/RIUP23/432/SHREE RAM INFRAS 490000.00</t>
  </si>
  <si>
    <t>02-06-2023 NEFT/AXISP00395151245/RIUP23/488/SHREE RAM INFRAS ₹ 1,96,000.00</t>
  </si>
  <si>
    <t>07-06-2023 NEFT/AXISP00396637622/RIUP23/561/SHREE RAM INFRAS 294000.00</t>
  </si>
  <si>
    <t>11-08-2023 NEFT/AXISP00415257206/RIUP23/1479/SHREE RAM INFRA ₹ 4,90,000.00</t>
  </si>
  <si>
    <t>06-07-2023 NEFT/AXISP00404467606/RIUP23/1013/SHREE RAM INFRA 490000.00</t>
  </si>
  <si>
    <t>11-08-2023 NEFT/AXISP00415007049/RIUP23/1476/SHREE RAM INFRA 490000.00</t>
  </si>
  <si>
    <t>18-08-2023 NEFT/AXISP00416747772/RIUP23/1610/SHREE RAM INFRA 490000.00</t>
  </si>
  <si>
    <t>19-08-2023 NEFT/AXISP00416912564/RIUP23/1630/SHREE RAM INFRA ₹ 4,90,000.00</t>
  </si>
  <si>
    <t>SR23-24/13</t>
  </si>
  <si>
    <t>SR23-24/14</t>
  </si>
  <si>
    <t>18-08-2023 NEFT/AXISP00416747773/RIUP23/1612/SHREE RAM INFRA 490000.00</t>
  </si>
  <si>
    <t>18-08-2023 NEFT/AXISP00416613521/RIUP23/1599/SHREE RAM INFRA 490000.00</t>
  </si>
  <si>
    <t>18-08-2023 NEFT/AXISP00416747771/RIUP23/1611/SHREE RAM INFRA 490000.00</t>
  </si>
  <si>
    <t>07-09-2023 NEFT/AXISP00422654402/RIUP23/1882/SHREE RAM INFRASTR/ICIC0006955 980000.00</t>
  </si>
  <si>
    <t>14-09-2023 NEFT/AXISP00424905752/RIUP23/2015/SHREE RAM INFRASTR/ICIC0006955 784000.00</t>
  </si>
  <si>
    <t>15-09-2023 NEFT/AXISP00425127999/RIUP23/2044/SHREE RAM INFRASTR 294000.00</t>
  </si>
  <si>
    <t>12-09-2023 NEFT/AXISP00424029575/RIUP23/1984/SHREE RAM INFRASTR/9,80,000.00</t>
  </si>
  <si>
    <t>15-09-2023 NEFT/AXISP00425127998/RIUP23/2046/SHREE RAM INFRASTR/ 490000.00</t>
  </si>
  <si>
    <t>12-09-2023 NEFT/AXISP00423960512/RIUP23/1920/SHREE RAM INFRASTR/415345.00</t>
  </si>
  <si>
    <t>15-09-2023 NEFT/AXISP00425127997/RIUP23/2045/SHREE RAM INFRASTR/490000.00</t>
  </si>
  <si>
    <t>12-09-2023 NEFT/AXISP00423960511/RIUP23/1919/SHREE RAM INFRASTR/ICIC0006955 168687.00</t>
  </si>
  <si>
    <t>30-09-2023 NEFT/AXISP00428978255/RIUP23/2375/SHREE RAM INFRASTR 490000.00</t>
  </si>
  <si>
    <t>30-09-2023 NEFT/AXISP00429071457/RIUP23/2402/SHREE RAM INFRASTR 980000.00</t>
  </si>
  <si>
    <t>30-09-2023 NEFT/AXISP00429071458/RIUP23/2401/SHREE RAM INFRASTR 490000.00</t>
  </si>
  <si>
    <t>30-09-2023 NEFT/AXISP00428978257/RIUP23/2374/SHREE RAM INFRASTR 980000.00</t>
  </si>
  <si>
    <t>30-09-2023 NEFT/AXISP00428978256/RIUP23/2373/SHREE RAM INFRASTR 490000.00</t>
  </si>
  <si>
    <t>BOQ Amount</t>
  </si>
  <si>
    <t>13-10-2023 NEFT/AXISP00434230824/RIUP23/2639/SHREE RAM INFRASTR/ICIC0006955 980000.00</t>
  </si>
  <si>
    <t>13-10-2023 NEFT/AXISP00434230822/RIUP23/2637/SHREE RAM INFRASTR/ICIC0006955 1470000.00</t>
  </si>
  <si>
    <t>13-10-2023 NEFT/AXISP00434230823/RIUP23/2638/SHREE RAM INFRASTR/ICIC0006955 980000.00</t>
  </si>
  <si>
    <t>31-10-2023 NEFT/AXISP00424025691/RIUP23/2984/SHREE RAM INFRASTR/ICIC0006955 ₹ 980000.00</t>
  </si>
  <si>
    <t>31-10-2023 NEFT/AXISP00424025690/RIUP23/2983/SHREE RAM INFRASTR/ICIC0006955 ₹ 441000.00</t>
  </si>
  <si>
    <t>31-10-2023 NEFT/AXISP00424025692/RIUP23/2985/SHREE RAM INFRASTR/ICIC0006955 ₹ 588000.00</t>
  </si>
  <si>
    <t>31-10-2023 NEFT/AXISP00424025693/RIUP23/2986/SHREE RAM INFRASTR/ICIC0006955 ₹ 1176000.00</t>
  </si>
  <si>
    <t>31-10-2023 NEFT/AXISP00424025694/RIUP23/2987/SHREE RAM INFRASTR/ICIC0006955 ₹ 588000.00</t>
  </si>
  <si>
    <t>24-11-2023 NEFT/AXISP00446428088/RIUP23/3422/SHREE RAM INFRASTR/ICIC0006955 490000.00</t>
  </si>
  <si>
    <t>24-11-2023 NEFT/AXISP00446428085/RIUP23/3420/SHREE RAM INFRASTR/ICIC0006955 490000.00</t>
  </si>
  <si>
    <t>24-11-2023 NEFT/AXISP00446428086/RIUP23/3419/SHREE RAM INFRASTR/ICIC0006955 490000.00</t>
  </si>
  <si>
    <t>24-11-2023 NEFT/AXISP00446428087/RIUP23/3418/SHREE RAM INFRASTR/ICIC0006955 490000.00</t>
  </si>
  <si>
    <t>24-11-2023 NEFT/AXISP00446428084/RIUP23/3421/SHREE RAM INFRASTR/ICIC0006955 490000.00</t>
  </si>
  <si>
    <t>19-08-2023 NEFT/AXISP00416912565/RIUP23/1631/SHREE RAM INFRA ₹ 9,80,000.000</t>
  </si>
  <si>
    <t>29-11-2023 NEFT/AXISP00446123569/RIUP23/3489/SHREE RAM INFRASTRU 1470000.00</t>
  </si>
  <si>
    <t>29-11-2023 NEFT/AXISP00446123563/RIUP23/3488/SHREE RAM INFRASTRU 1470000.00</t>
  </si>
  <si>
    <t>29-11-2023 NEFT/AXISP00447355237/RIUP23/3490/SHREE RAM INFRASTR 1470000.00</t>
  </si>
  <si>
    <t>29-11-2023 NEFT/AXISP00446123566/RIUP23/3487/SHREE RAM INFRASTRU 1176000.00</t>
  </si>
  <si>
    <t>07-12-2023 NEFT/AXISP00450476288/RIUP23/3627A/SHREE RAM INFRASTR/ICIC0006955 ₹ 4,90,000.00</t>
  </si>
  <si>
    <t>07-12-2023 NEFT/AXISP00450476281/RIUP23/3638/SHREE RAM INFRASTR/ICIC0006955 ₹ 14,70,000.00</t>
  </si>
  <si>
    <t>08-01-2024 NEFT/AXISP00460650873/RIUP23/4152/SHREE RAM INFRASTR/ICIC0006955 ₹ 9,80,000.00</t>
  </si>
  <si>
    <t>08-01-2024 NEFT/AXISP00460650874/RIUP23/4151/SHREE RAM INFRASTR/ICIC0006955 ₹ 4,90,000.00</t>
  </si>
  <si>
    <t>08-01-2024 NEFT/AXISP00460650875/RIUP23/4150/SHREE RAM INFRASTR/ICIC0006955 ₹ 9,80,000.00</t>
  </si>
  <si>
    <t>08-01-2024 NEFT/AXISP00460650876/RIUP23/4149/SHREE RAM INFRASTR/ICIC0006955 ₹ 4,90,000.00</t>
  </si>
  <si>
    <t>08-01-2024 NEFT/AXISP00460650877/RIUP23/4148/SHREE RAM INFRASTR/ICIC0006955 ₹ 9,80,000.00</t>
  </si>
  <si>
    <t>08-01-2024 NEFT/AXISP00460650878/RIUP23/4147/SHREE RAM INFRASTR/ICIC0006955 ₹ 4,90,000.00</t>
  </si>
  <si>
    <t>Balance Amount</t>
  </si>
  <si>
    <t>13-02-2024 NEFT/AXISP00471012357/RIUP23/4669/SHREE RAM INFRASTR/ICIC0006955 490000.00</t>
  </si>
  <si>
    <t>13-02-2024 NEFT/AXISP00471012360/RIUP23/4672/SHREE RAM INFRASTR/ICIC0006955 686000.00</t>
  </si>
  <si>
    <t>13-02-2024 NEFT/AXISP00471012358/RIUP23/4670/SHREE RAM INFRASTR/ICIC0006955 686000.00</t>
  </si>
  <si>
    <t>13-02-2024 NEFT/AXISP00471012359/RIUP23/4671/SHREE RAM INFRASTR/ICIC0006955 686000.00</t>
  </si>
  <si>
    <t>13-02-2024 NEFT/AXISP00471012361/RIUP23/4673/SHREE RAM INFRASTR/ICIC0006955 784000.00</t>
  </si>
  <si>
    <t>22-02-2024 NEFT/AXISP00473278706/RIUP23/4814/SHREE RAM INFRASTR/ICIC0006955 392000.00</t>
  </si>
  <si>
    <t>02-03-2024 NEFT/AXISP00476616505/RIUP23/4960/SHREE RAM INFRASTR/ICIC0006955 1078000.00</t>
  </si>
  <si>
    <t>Rampur - 175 - 12</t>
  </si>
  <si>
    <t>02-03-2024 NEFT/AXISP00476616506/RIUP23/4959/SHREE RAM INFRASTR/ICIC0006955 441000.00</t>
  </si>
  <si>
    <t>01-03-2024 NEFT/AXISP00475963214/RIUP23/4938/SHREE RAM INFRASTR/ICIC0006955 ₹ 19,60,000.00</t>
  </si>
  <si>
    <t>Kadli - 150 -12</t>
  </si>
  <si>
    <t>Dabal - 150- 12</t>
  </si>
  <si>
    <t>01-03-2024 NEFT/AXISP00475963213/RIUP23/4937/SHREE RAM INFRASTR/ICIC0006955 ₹ 19,60,000.00</t>
  </si>
  <si>
    <t>02-03-2024 NEFT/AXISP00476616507/RIUP23/4958/SHREE RAM INFRASTR/ICIC0006955 441000.00</t>
  </si>
  <si>
    <t>Harenti - 75 - 12</t>
  </si>
  <si>
    <t>27-02-2024 NEFT/AXISP00474283575/RIUP23/4882/SHREE RAM INFRASTR/ICIC0006955 ₹ 9,80,000.00</t>
  </si>
  <si>
    <t>01-03-2024 NEFT/AXISP00475963215/RIUP23/4934/SHREE RAM INFRASTR/ICIC0006955 ₹ 5,88,000.00</t>
  </si>
  <si>
    <t>Palda - 175 -12</t>
  </si>
  <si>
    <t>27-02-2024 NEFT/AXISP00474283571/RIUP23/4881/SHREE RAM INFRASTR/ICIC0006955 14,70,000.00</t>
  </si>
  <si>
    <t>Khabarpur - 175 - 16</t>
  </si>
  <si>
    <t>27-02-2024 NEFT/AXISP00474283572/RIUP23/4880/SHREE RAM INFRASTR/ICIC0006955 ₹ 14,70,000.00</t>
  </si>
  <si>
    <t>01-03-2024 NEFT/AXISP00475963216/RIUP23/4933/SHREE RAM INFRASTR/ICIC0006955 ₹ 9,80,000.00</t>
  </si>
  <si>
    <t>Shakarpur - 75 -16</t>
  </si>
  <si>
    <t>27-02-2024 NEFT/AXISP00474283573/RIUP23/4879/SHREE RAM INFRASTR/ICIC0006955 ₹ 14,70,000.00</t>
  </si>
  <si>
    <t>01-03-2024 NEFT/AXISP00475963217/RIUP23/4932/SHREE RAM INFRASTR/ICIC0006955 ₹ 3,92,000.00</t>
  </si>
  <si>
    <t>27-02-2024 NEFT/AXISP00474283574/RIUP23/4878/SHREE RAM INFRASTR/ICIC0006955 ₹ 14,70,000.00</t>
  </si>
  <si>
    <t>01-03-2024 NEFT/AXISP00475963218/RIUP23/4931/SHREE RAM INFRASTR/ICIC0006955 ₹ 9,80,000.00</t>
  </si>
  <si>
    <t>Noornagar - 175 - 12</t>
  </si>
  <si>
    <t>Sardhan - 100 -16</t>
  </si>
  <si>
    <t>17-02-2024 NEFT/AXISP00472243568/RIUP23/4752/SHREE RAM INFRASTR/ICIC0006955 ₹ 9,80,000.00</t>
  </si>
  <si>
    <t>22-02-2024 NEFT/AXISP00473278705/RIUP23/4813/SHREE RAM INFRASTR/ICIC0006955 784000.00</t>
  </si>
  <si>
    <t>Gangdhari - 250 - 14</t>
  </si>
  <si>
    <t>16-02-2024 NEFT/AXISP00471994174/RIUP23/4718/SHREE RAM INFRASTR/ICIC0006955 1960000.00</t>
  </si>
  <si>
    <t>Umarpur Lisoda - 50 - 12</t>
  </si>
  <si>
    <t>16-02-2024 NEFT/AXISP00471994175/RIUP23/4717/SHREE RAM INFRASTR/ICIC0006955 490000.00</t>
  </si>
  <si>
    <t>16-02-2024 NEFT/AXISP00471994177/RIUP23/4715/SHREE RAM INFRASTR/ICIC0006955 1470000.00</t>
  </si>
  <si>
    <t>16-02-2024 NEFT/AXISP00471994178/RIUP23/4714/SHREE RAM INFRASTR/ICIC0006955 490000.00</t>
  </si>
  <si>
    <t>Raipur Nangali - 75 - 12</t>
  </si>
  <si>
    <t>16-02-2024 NEFT/AXISP00471994179/RIUP23/4713/SHREE RAM INFRASTR/ICIC0006955 980000.00</t>
  </si>
  <si>
    <t>16-02-2024 NEFT/AXISP00471994173/RIUP23/4719/SHREE RAM INFRASTR/ICIC0006955 490000.00</t>
  </si>
  <si>
    <t>SR23-24/104</t>
  </si>
  <si>
    <t>Morkukka - 100 - 12m</t>
  </si>
  <si>
    <t>SR23-24/06</t>
  </si>
  <si>
    <t>SR24-25/03</t>
  </si>
  <si>
    <t>SR24-25/08</t>
  </si>
  <si>
    <t>SR23-24/02</t>
  </si>
  <si>
    <t>22-05-2024 NEFT/AXISP00501782736/RIUP24/0587/SHREE RAM INFRASTR/ICIC0006955 980000.00</t>
  </si>
  <si>
    <t>22-05-2024 NEFT/AXISP00501782737/RIUP24/0586/SHREE RAM INFRASTR/ICIC0006955 1470000.00</t>
  </si>
  <si>
    <t>24-05-2024 NEFT/AXISP00502672906/RIUP24/0609/SHREE RAM INFRASTR/ICIC0006955 980000.00</t>
  </si>
  <si>
    <t>24-05-2024 NEFT/AXISP00502671119/RIUP24/0608/SHREE RAM INFRASTR/ICIC0006955 490000.00</t>
  </si>
  <si>
    <t>24-05-2024 NEFT/AXISP00502671120/RIUP24/0607/SHREE RAM INFRASTR/ICIC0006955 392000.00</t>
  </si>
  <si>
    <t>SR23/24/221</t>
  </si>
  <si>
    <t>Inc. 07 not checked</t>
  </si>
  <si>
    <t>22-03-2024 NEFT/AXISP00483649292/RIUP23/5262/SHREE RAM INFRASTR/ICIC0006955 294000.00</t>
  </si>
  <si>
    <t>22-03-2024 NEFT/AXISP00483649294/RIUP23/5261/SHREE RAM INFRASTR/ICIC0006955 784000.00</t>
  </si>
  <si>
    <t>22-03-2024 NEFT/AXISP00483649293/RIUP23/5263/SHREE RAM INFRASTR/ICIC0006955 1176000.00</t>
  </si>
  <si>
    <t>22-03-2024 NEFT/AXISP00483649291/RIUP23/5264/SHREE RAM INFRASTR/ICIC0006955 392000.00</t>
  </si>
  <si>
    <t>22-03-2024 NEFT/AXISP00483649290/RIUP23/5265/SHREE RAM INFRASTR/ICIC0006955 196000.00</t>
  </si>
  <si>
    <t>22-03-2024 NEFT/AXISP00483649289/RIUP23/5266/SHREE RAM INFRASTR/ICIC0006955 392000.00</t>
  </si>
  <si>
    <t>22-03-2024 NEFT/AXISP00483649288/RIUP23/5267/SHREE RAM INFRASTR/ICIC0006955 294000.00</t>
  </si>
  <si>
    <t>28-05-2024 NEFT -YESIG41490146493-ICIC0006955-SHREE RAM INFRASTRUCTURE-RIUP24/0648 14,70,000.00</t>
  </si>
  <si>
    <t>28-05-2024 NEFT-YESIG41490146492-ICIC0006955-SHREE RAM INFRASTRUCTURE - RIUP24/0647 14,70,000.00</t>
  </si>
  <si>
    <t>28-05-2024 NEFT-YESIG41490146491-ICIC0006955-SHREE RAM INFRASTRUCTURE-RIUP24/0646 19,60,000.00</t>
  </si>
  <si>
    <t>28-05-2024 NEFT -YESIG41490146490-ICIC0006955-SHREE RAM INFRASTRUCTURE-RIUP24/0645 24,50,000.00</t>
  </si>
  <si>
    <t>28-05-2024 NEFT/AXISP00503315195/RIUP24/0640/SHREE RAM INFRASTR/ICIC0006955 2450000.00</t>
  </si>
  <si>
    <t>19-07-2024 NEFT/AXISP00519998062/RIUP24/1199/SHREE RAM INFRASTR/ICIC0006955 1470000.00</t>
  </si>
  <si>
    <t>19-07-2024 NEFT/AXISP00519998063/RIUP24/1196/SHREE RAM INFRASTR/ICIC0006955 980000.0</t>
  </si>
  <si>
    <t>22-07-2024 RTGS/UTIBR52024072200482337/RIUP24/1226/SHREE RAM INFRASTR/ICIC0006955 ₹ 9,80,000.00</t>
  </si>
  <si>
    <t>22-07-2024 RTGS/UTIBR52024072200482336/RIUP24/1225/SHREE RAM INFRASTR/ICIC0006955 ₹ 14,70,000.00</t>
  </si>
  <si>
    <t>22-07-2024 RTGS/UTIBR52024072200482338/RIUP24/1227/SHREE RAM INFRASTR/ICIC0006955 ₹ 9,80,000.00</t>
  </si>
  <si>
    <t>22-07-2024 RTGS/UTIBR52024072200482339/RIUP24/1228/SHREE RAM INFRASTR/ICIC0006955 ₹ 14,70,000.00</t>
  </si>
  <si>
    <t>Godhna - 300 -12</t>
  </si>
  <si>
    <t>Kasauli - 125 - 12</t>
  </si>
  <si>
    <t>Nirgajani - 125 - 12</t>
  </si>
  <si>
    <t>CHHACHHARAULI - 150 -12</t>
  </si>
  <si>
    <t>Khalwara - 150 - 12</t>
  </si>
  <si>
    <t>Dulhera - 250 -12</t>
  </si>
  <si>
    <t>Rasulpur - 150 -12</t>
  </si>
  <si>
    <t>Samuli - 400 - 14</t>
  </si>
  <si>
    <t>Antwara - 250 - 14</t>
  </si>
  <si>
    <t>Shahbazpur - 50 -12</t>
  </si>
  <si>
    <t>Muzahidpur - 225 - 12</t>
  </si>
  <si>
    <t>Bhoopkheri - 175 -16</t>
  </si>
  <si>
    <t>Anti - 200 -16</t>
  </si>
  <si>
    <t>Chacharpur - 200 -14</t>
  </si>
  <si>
    <t>Phulat - 250 -14</t>
  </si>
  <si>
    <t>ATHAI  - 100 - 12</t>
  </si>
  <si>
    <t>Saidipur Raju - 150 - 12</t>
  </si>
  <si>
    <t>Kailanpur Jalalpur - 325 -14</t>
  </si>
  <si>
    <t>Bhojaheri - 325 - 14</t>
  </si>
  <si>
    <t>Bahpur - 125 -12</t>
  </si>
  <si>
    <t>Johra - 100 - 12</t>
  </si>
  <si>
    <t>Nagli Mahasingh - 75 - 12</t>
  </si>
  <si>
    <t>Kamalpur  -275 - 14</t>
  </si>
  <si>
    <t>Khanpur - 75 - 12</t>
  </si>
  <si>
    <t>Chaurawal - 275 - 14</t>
  </si>
  <si>
    <t>Mubarikpur - 250 - 14</t>
  </si>
  <si>
    <t>Tuglapur - 400 - 16</t>
  </si>
  <si>
    <t>Khokni - 75 - 12</t>
  </si>
  <si>
    <t>Malpura - 50 - 12</t>
  </si>
  <si>
    <t>Shahpur - 100 -12</t>
  </si>
  <si>
    <t>Hansawala - 150 - 12</t>
  </si>
  <si>
    <t>Ahrora - 75 -12</t>
  </si>
  <si>
    <t>Bhuraheri - 75 -12</t>
  </si>
  <si>
    <t>14-08-2024 NEFT/AXISP00528230419/RIUP24/1434/SHREE RAM INFRASTR/ICIC0006955 980000.00</t>
  </si>
  <si>
    <t>Fahimpur Kalan - 50 - 12</t>
  </si>
  <si>
    <t>19-07-2024 NEFT/AXISP00519998064/RIUP24/1197/SHREE RAM INFRASTR/ICIC0006955 1470000.00</t>
  </si>
  <si>
    <t>Kadipur - 125 -12</t>
  </si>
  <si>
    <t>19-07-2024 NEFT/AXISP00519998065/RIUP24/1198/SHREE RAM INFRASTR/ICIC0006955 980000.00</t>
  </si>
  <si>
    <t>08-08-2024 NEFT/AXISP00526582151/RIUP24/1416/SHREE RAM INFRASTR/ICIC0006955 490000.00</t>
  </si>
  <si>
    <t>Nanhera - 175 - 12</t>
  </si>
  <si>
    <t>08-08-2024 NEFT/AXISP00526582152/RIUP24/1417/SHREE RAM INFRASTR/ICIC0006955 980000.00</t>
  </si>
  <si>
    <t>Nanheri - 125 -12</t>
  </si>
  <si>
    <t>12-07-2024 NEFT/AXISP00518333919/RIUP24/1105/SHREE RAM INFRASTR/ICIC0006955 980000.00</t>
  </si>
  <si>
    <t>08-08-2024 NEFT/AXISP00526582153/RIUP24/1418/SHREE RAM INFRASTR/ICIC0006955 980000.00</t>
  </si>
  <si>
    <t>12-07-2024 NEFT/AXISP00518333920/RIUP24/1106/SHREE RAM INFRASTR/ICIC0006955 980000.00</t>
  </si>
  <si>
    <t>Jeevanpur - 50 -12</t>
  </si>
  <si>
    <t>16-07-2024 NEFT/AXISP00519016323/RIUP24/1107/SHREE RAM INFRASTR/ICIC0006955 980000.00</t>
  </si>
  <si>
    <t>Sherpur - 75 -12</t>
  </si>
  <si>
    <t>16-07-2024 NEFT/AXISP00519016324/RIUP24/1108/SHREE RAM INFRASTR/ICIC0006955 980000.00</t>
  </si>
  <si>
    <t>16-07-2024 NEFT/AXISP00519016325/RIUP24/1109/SHREE RAM INFRASTR/ICIC0006955 980000.00</t>
  </si>
  <si>
    <t>Lohadda - 75 -12</t>
  </si>
  <si>
    <t>Behrassa - 300 -14</t>
  </si>
  <si>
    <t>Nagla Mubarik - 100-  12</t>
  </si>
  <si>
    <t>Nagla Kabir - 75 -12</t>
  </si>
  <si>
    <t>Bhiraheri - 200 -14</t>
  </si>
  <si>
    <t>30-08-2024 NEFT/AXISP00533733869/RIUP24/1591/SHREE RAM INFRASTR/ICIC0006955 980000.00</t>
  </si>
  <si>
    <t>Jandheri Jatan - 200 -14</t>
  </si>
  <si>
    <t>29-08-2024 NEFT/AXISP00533102968/RIUP24/1546/SHREE RAM INFRASTR/ICIC0006955 980000.00</t>
  </si>
  <si>
    <t>27-08-2024 NEFT/AXISP00532290663/RIUP24/1538/SHREE RAM INFRASTR/ICIC0006955 980000.00</t>
  </si>
  <si>
    <t>Ghumawati - 50 -12</t>
  </si>
  <si>
    <t>Pal - 50 -12</t>
  </si>
  <si>
    <t>Sikanderpur kalan - 275 - 12</t>
  </si>
  <si>
    <t>Saidpur - 225 - 12</t>
  </si>
  <si>
    <t>08-09-2023 NEFT/AXISP00423197053/RIUP23/1918/SHREE RAM INFRASTR/ICIC0006955 49460.00</t>
  </si>
  <si>
    <t>Project</t>
  </si>
  <si>
    <t xml:space="preserve">Party </t>
  </si>
  <si>
    <t>Shree Ram Infrastrure</t>
  </si>
  <si>
    <t>GST Amount</t>
  </si>
  <si>
    <t xml:space="preserve">Total Hold </t>
  </si>
  <si>
    <t>Extra Hold</t>
  </si>
  <si>
    <t>Total paid</t>
  </si>
  <si>
    <t>Balance Payable</t>
  </si>
  <si>
    <t xml:space="preserve">Updated on </t>
  </si>
  <si>
    <t>Muzaffarnagar UP</t>
  </si>
  <si>
    <t>Total Bill Amount with GST</t>
  </si>
  <si>
    <t>PMC</t>
  </si>
  <si>
    <t>03-09-2024 NEFT/AXISP00535803792/RIUP24/1602/SHREE RAM INFRASTR/ICIC0006955 980000.00</t>
  </si>
  <si>
    <t>03-09-2024 NEFT/AXISP00535803793/RIUP24/1601/SHREE RAM INFRASTR/ICIC0006955 980000.00</t>
  </si>
  <si>
    <t>05-09-2024 NEFT/AXISP00536710691/RIUP24/1664/SHREE RAM INFRASTR/ICIC0006955 1470000.00</t>
  </si>
  <si>
    <t>05-09-2024 NEFT/AXISP00536710694/RIUP24/1663/SHREE RAM INFRASTR/ICIC0006955 1470000.00</t>
  </si>
  <si>
    <t>05-09-2024 NEFT/AXISP00536710693/RIUP24/1662/SHREE RAM INFRASTR/ICIC0006955 980000.00</t>
  </si>
  <si>
    <t>04-09-2024 NEFT/AXISP00535970647/RIUP24/1603/SHREE RAM INFRASTR/ICIC0006955 ₹ 9,80,000.00</t>
  </si>
  <si>
    <t>06-09-2024 NEFT/AXISP00537295304/RIUP24/1677/SHREE RAM INFRASTR/ICIC0006955 490000.00</t>
  </si>
  <si>
    <t>06-09-2024 NEFT/AXISP00537295305/RIUP24/1678/SHREE RAM INFRASTR/ICIC0006955 490000.00</t>
  </si>
  <si>
    <t>06-09-2024 NEFT/AXISP00537295306/RIUP24/1679/SHREE RAM INFRASTR/ICIC0006955 490000.00</t>
  </si>
  <si>
    <t>06-09-2024 NEFT/AXISP00537295307/RIUP24/1680/SHREE RAM INFRASTR/ICIC0006955 980000.00</t>
  </si>
  <si>
    <t>24-09-2024 NEFT/AXISP00543503640/RIUP24/1907/SHREE RAM INFRASTR/ICIC0006955 490000.00</t>
  </si>
  <si>
    <t>24-09-2024 NEFT/AXISP00543503641/RIUP24/1908/SHREE RAM INFRASTR/ICIC0006955 490000.00</t>
  </si>
  <si>
    <t>26-09-2024 NEFT/AXISP00544686601/RIUP24/1938/SHREE RAM INFRASTR/ICIC0006955 392000.00</t>
  </si>
  <si>
    <t>26-09-2024 NEFT/AXISP00544686599/RIUP24/1937/SHREE RAM INFRASTR/ICIC0006955 294000.00</t>
  </si>
  <si>
    <t>GST</t>
  </si>
  <si>
    <t>14, 136</t>
  </si>
  <si>
    <t>10, 79</t>
  </si>
  <si>
    <t>13, 104</t>
  </si>
  <si>
    <t>Basaych 100 - 14</t>
  </si>
  <si>
    <t>01-10-2024 NEFT/AXISP00547359350/RIUP24/2028/SHREE RAM INFRASTR/ICIC0006955 980000.00</t>
  </si>
  <si>
    <t>01-10-2024 NEFT/AXISP00547359351/RIUP24/2029/SHREE RAM INFRASTR/ICIC0006955 980000.00</t>
  </si>
  <si>
    <t>01-10-2024 NEFT/AXISP00547359352/RIUP24/2030/SHREE RAM INFRASTR/ICIC0006955 980000.00</t>
  </si>
  <si>
    <t>01-10-2024 NEFT/AXISP00547359353/RIUP24/2031/SHREE RAM INFRASTR/ICIC0006955 980000.00</t>
  </si>
  <si>
    <t>01-10-2024 NEFT/AXISP00547359355/RIUP24/2033/SHREE RAM INFRASTR/ICIC0006955 490000.00</t>
  </si>
  <si>
    <t>03-08-2024 NEFT/AXISP00524659743/RIUP24/1367/SHREE RAM INFRASTR/ICIC0006955 2940000.00</t>
  </si>
  <si>
    <t>08-08-2024 NEFT/AXISP00526582147/RIUP24/1412/SHREE RAM INFRASTR/ICIC0006955 1960000.00</t>
  </si>
  <si>
    <t>03-08-2024 NEFT/AXISP00524659744/RIUP24/1368/SHREE RAM INFRASTR/ICIC0006955 2940000.00</t>
  </si>
  <si>
    <t>08-08-2024 NEFT/AXISP00526582148/RIUP24/1413/SHREE RAM INFRASTR/ICIC0006955 1960000.00</t>
  </si>
  <si>
    <t>03-08-2024 NEFT/AXISP00524659745/RIUP24/1369/SHREE RAM INFRASTR/ICIC0006955 2450000.00</t>
  </si>
  <si>
    <t>08-08-2024 NEFT/AXISP00526582149/RIUP24/1414/SHREE RAM INFRASTR/ICIC0006955 2450000.00</t>
  </si>
  <si>
    <t>03-08-2024 NEFT/AXISP00524659746/RIUP24/1370/SHREE RAM INFRASTR/ICIC0006955 2940000.00</t>
  </si>
  <si>
    <t>08-08-2024 NEFT/AXISP00526582150/RIUP24/1415/SHREE RAM INFRASTR/ICIC0006955 1960000.00</t>
  </si>
  <si>
    <t>Maharaipur - 50 - 12</t>
  </si>
  <si>
    <t>Abdulpur  - 175 - 12</t>
  </si>
  <si>
    <t>Sukertari - 175 - 16</t>
  </si>
  <si>
    <t>Bal</t>
  </si>
  <si>
    <t>04-07-2024 NEFT/AXISP00515331792/RIUP24/1056/SHREE RAM INFRASTR/ICIC0006955 2450000.00</t>
  </si>
  <si>
    <t>06-07-2024 NEFT/AXISP00516322322/RIUP24/1069/SHREE RAM INFRASTR/ICIC0006955 2450000.00</t>
  </si>
  <si>
    <t>Simarthi - 100 -12</t>
  </si>
  <si>
    <t>14/8/24</t>
  </si>
  <si>
    <t>24/6/24</t>
  </si>
  <si>
    <t>20/6/24</t>
  </si>
  <si>
    <t>15/8/24</t>
  </si>
  <si>
    <t>28/6/24</t>
  </si>
  <si>
    <t>Buwara Kalan  - 150 -12</t>
  </si>
  <si>
    <t>Yahiyapur - 50 - 12</t>
  </si>
  <si>
    <t>Jabardastpur Urf Mansodi - 50 -12</t>
  </si>
  <si>
    <t>JIVANPURI(AHMADWALA) - 75 -12</t>
  </si>
  <si>
    <t>Marhkarimpur - 275 -14</t>
  </si>
  <si>
    <t>Wazidpur khurd - 50 - 12</t>
  </si>
  <si>
    <t>Sikhreda JAMALPUR - 100 - 16</t>
  </si>
  <si>
    <t>Fahimpur Khurd - 175 - 16</t>
  </si>
  <si>
    <t>Total Hold</t>
  </si>
  <si>
    <t>Advance / Surplus</t>
  </si>
  <si>
    <t>Excess Claim Hold amount</t>
  </si>
  <si>
    <t>Excess Claim Hold (12% )</t>
  </si>
  <si>
    <t>Balance</t>
  </si>
  <si>
    <t>18-12-2024 NEFT/AXISP00586169923/RIUP 2747/SHREE RAM INFRASTR/ICIC0006955 980000.00</t>
  </si>
  <si>
    <t>31-10-2023 NEFT/AXISP00424025689/RIUP23/2982/SHREE RAM INFRASTR/ICIC0006955  686000.00</t>
  </si>
  <si>
    <t>10-01-2025 NEFT/AXISP00597066964/RIUP24/2913/SHREE RAM INFRASTR/ICIC0006955 490000.00</t>
  </si>
  <si>
    <t>10-01-2025 NEFT/AXISP00597066963/RIUP24/2912/SHREE RAM INFRASTR/ICIC0006955 490000.00</t>
  </si>
  <si>
    <t>16-01-2025 NEFT/AXISP00598828258/RIUP24/2948/SHREE RAM INFRASTR/ICIC0006955 ₹ 4,90,000.00</t>
  </si>
  <si>
    <t>16-01-2025 NEFT/AXISP00598828257/RIUP24/2947/SHREE RAM INFRASTR/ICIC0006955 ₹ 4,90,000.00</t>
  </si>
  <si>
    <t>Shree Ram Infrastructure</t>
  </si>
  <si>
    <t>20-01-2025 NEFT/AXISP00600730129/RIUP24/2979/SHREE RAM INFRASTR/ICIC0006955 500000.00</t>
  </si>
  <si>
    <t>20-01-2025 NEFT/AXISP00600730128/RIUP24/2978/SHREE RAM INFRASTR/ICIC0006955 500000.00</t>
  </si>
  <si>
    <t>24-01-2025 NEFT/AXISP00603096427/RIUP24/3013/SHREE RAM INFRASTR/ICIC0006955 ₹ 5,00,000.00</t>
  </si>
  <si>
    <t>01-02-2025 NEFT/AXISP00608247969/RIUP24/3066/SHREE RAM INFRASTR/ICIC0006955 ₹ 5,00,000.00</t>
  </si>
  <si>
    <t>04-02-2025 NEFT/AXISP00610028538/RIUP24/3014/SHREE RAM INFRASTR/ICIC0006955 500000.00</t>
  </si>
  <si>
    <t>07-02-2025 NEFT/AXISP00612564988/RIUP24/3132/SHREE RAM INFRASTR/ICIC0006955 500000.00</t>
  </si>
  <si>
    <t>29-03-2025 NEFT/AXISP00642631543/RIUP24/3079/SHREE RAM INFRASTR/ICIC0006955 200000.00</t>
  </si>
  <si>
    <t>03-04-2025 NEFT/AXISP00645605378/RIUP24/3212/SHREE RAM INFRASTR/ICIC0006955 300000.00</t>
  </si>
  <si>
    <t>05-04-2025 NEFT/AXISP00647054538/RIUP24/3211/SHREE RAM INFRASTR/ICIC0006955 500000.00</t>
  </si>
  <si>
    <t>08-04-2025 NEFT/AXISP00648394846/RIUP25/0058/SHREE RAM INFRASTR/ICIC0006955 1000000.00</t>
  </si>
  <si>
    <t>31-05-2025 NEFT/AXISP00672333416/RIUP25/0383/SHREE RAM INFRASTR/ICIC0006955 1000000.00</t>
  </si>
  <si>
    <t>31-05-2025 NEFT/AXISP00672333415/RIUP25/0382/SHREE RAM INFRASTR/ICIC0006955 1000000.00</t>
  </si>
  <si>
    <t>29-03-2025 NEFT/AXISP00642631544/RIUP24/3080/SHREE RAM INFRASTR/ICIC0006955 500000.00</t>
  </si>
  <si>
    <t>01-10-2024 NEFT/AXISP00547359526/RIUP24/2032/SHREE RAM INFRASTR/ICIC0006955 980000.00</t>
  </si>
  <si>
    <t>04-06-2025 NEFT/AXISP00674569624/RIUP25/0400/SHREE RAM INFRASTR/ICIC0006955 1000000.00</t>
  </si>
  <si>
    <t>04-06-2025 NEFT/AXISP00674569623/RIUP25/0399/SHREE RAM INFRASTR/ICIC0006955 1500000.00</t>
  </si>
  <si>
    <t>11-07-2025 NEFT/AXISP00689824270/RIUP25/0658/SHREE RAM INFRASTR/ICIC0006955 495000.00</t>
  </si>
  <si>
    <t>11-07-2025 NEFT/AXISP00689824269/RIUP25/0657/SHREE RAM INFRASTR/ICIC0006955 495000.00</t>
  </si>
  <si>
    <t>11-07-2025 NEFT/AXISP00689824268/RIUP25/0656/SHREE RAM INFRASTR/ICIC0006955 500000.00</t>
  </si>
  <si>
    <t>18-07-2025 NEFT/AXISP00691953294/RIUP25/0695/SHREE RAM INFRASTR/ICIC0006955 980000.00</t>
  </si>
  <si>
    <t>Ambarpur Mathedi -175 KL 14 m</t>
  </si>
  <si>
    <t>50 KL - 12m OHT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</si>
</sst>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F800]dddd\,\ mmmm\ dd\,\ 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omic Sans MS"/>
      <family val="4"/>
    </font>
    <font>
      <b/>
      <sz val="12"/>
      <color theme="1"/>
      <name val="Comic Sans MS"/>
      <family val="4"/>
    </font>
    <font>
      <b/>
      <sz val="11"/>
      <color theme="3"/>
      <name val="Calibri"/>
      <family val="2"/>
      <scheme val="minor"/>
    </font>
    <font>
      <sz val="9"/>
      <color rgb="FF333333"/>
      <name val="Verdana"/>
      <family val="2"/>
    </font>
    <font>
      <sz val="11"/>
      <color theme="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04">
    <xf numFmtId="0" fontId="0" fillId="0" borderId="0" xfId="0"/>
    <xf numFmtId="0" fontId="3" fillId="0" borderId="1" xfId="0" applyFont="1" applyBorder="1" applyAlignment="1">
      <alignment vertical="center"/>
    </xf>
    <xf numFmtId="0" fontId="4" fillId="2" borderId="0" xfId="0" applyFont="1" applyFill="1" applyAlignment="1">
      <alignment vertical="center"/>
    </xf>
    <xf numFmtId="14" fontId="4" fillId="2" borderId="0" xfId="0" applyNumberFormat="1" applyFont="1" applyFill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43" fontId="1" fillId="2" borderId="0" xfId="1" applyNumberFormat="1" applyFont="1" applyFill="1" applyAlignment="1">
      <alignment vertical="center"/>
    </xf>
    <xf numFmtId="164" fontId="1" fillId="2" borderId="0" xfId="1" applyFont="1" applyFill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5" fillId="2" borderId="0" xfId="0" applyFont="1" applyFill="1" applyAlignment="1">
      <alignment vertical="center"/>
    </xf>
    <xf numFmtId="0" fontId="4" fillId="2" borderId="4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0" xfId="0" applyFont="1"/>
    <xf numFmtId="0" fontId="6" fillId="3" borderId="1" xfId="0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164" fontId="4" fillId="2" borderId="3" xfId="1" applyFont="1" applyFill="1" applyBorder="1" applyAlignment="1">
      <alignment vertical="center"/>
    </xf>
    <xf numFmtId="43" fontId="4" fillId="2" borderId="1" xfId="1" applyNumberFormat="1" applyFont="1" applyFill="1" applyBorder="1" applyAlignment="1">
      <alignment vertical="center"/>
    </xf>
    <xf numFmtId="0" fontId="7" fillId="5" borderId="7" xfId="2" applyFont="1" applyFill="1" applyBorder="1" applyAlignment="1">
      <alignment vertical="center"/>
    </xf>
    <xf numFmtId="0" fontId="7" fillId="5" borderId="7" xfId="2" applyFont="1" applyFill="1" applyBorder="1" applyAlignment="1">
      <alignment horizontal="right" vertical="center"/>
    </xf>
    <xf numFmtId="0" fontId="8" fillId="5" borderId="7" xfId="2" applyFont="1" applyFill="1" applyBorder="1" applyAlignment="1">
      <alignment vertical="center"/>
    </xf>
    <xf numFmtId="0" fontId="8" fillId="5" borderId="7" xfId="2" applyFont="1" applyFill="1" applyBorder="1" applyAlignment="1">
      <alignment horizontal="right" vertical="center"/>
    </xf>
    <xf numFmtId="43" fontId="7" fillId="5" borderId="7" xfId="2" applyNumberFormat="1" applyFont="1" applyFill="1" applyBorder="1" applyAlignment="1">
      <alignment horizontal="left" vertical="center"/>
    </xf>
    <xf numFmtId="0" fontId="7" fillId="5" borderId="7" xfId="2" applyFont="1" applyFill="1" applyBorder="1" applyAlignment="1">
      <alignment vertical="center" wrapText="1"/>
    </xf>
    <xf numFmtId="43" fontId="7" fillId="5" borderId="7" xfId="2" applyNumberFormat="1" applyFont="1" applyFill="1" applyBorder="1" applyAlignment="1">
      <alignment vertical="center"/>
    </xf>
    <xf numFmtId="165" fontId="7" fillId="5" borderId="7" xfId="2" applyNumberFormat="1" applyFont="1" applyFill="1" applyBorder="1" applyAlignment="1">
      <alignment vertical="center"/>
    </xf>
    <xf numFmtId="43" fontId="1" fillId="2" borderId="0" xfId="1" applyNumberFormat="1" applyFont="1" applyFill="1" applyBorder="1" applyAlignment="1">
      <alignment vertical="center"/>
    </xf>
    <xf numFmtId="164" fontId="5" fillId="2" borderId="0" xfId="1" applyFont="1" applyFill="1" applyAlignment="1">
      <alignment vertical="center"/>
    </xf>
    <xf numFmtId="0" fontId="4" fillId="2" borderId="4" xfId="0" applyFont="1" applyFill="1" applyBorder="1" applyAlignment="1">
      <alignment horizontal="right" vertical="center"/>
    </xf>
    <xf numFmtId="43" fontId="7" fillId="2" borderId="4" xfId="1" applyNumberFormat="1" applyFont="1" applyFill="1" applyBorder="1" applyAlignment="1">
      <alignment vertical="center"/>
    </xf>
    <xf numFmtId="43" fontId="4" fillId="2" borderId="4" xfId="1" applyNumberFormat="1" applyFont="1" applyFill="1" applyBorder="1" applyAlignment="1">
      <alignment vertical="center"/>
    </xf>
    <xf numFmtId="164" fontId="4" fillId="2" borderId="4" xfId="1" applyFont="1" applyFill="1" applyBorder="1" applyAlignment="1">
      <alignment vertical="center" wrapText="1"/>
    </xf>
    <xf numFmtId="43" fontId="1" fillId="2" borderId="5" xfId="1" applyNumberFormat="1" applyFont="1" applyFill="1" applyBorder="1" applyAlignment="1">
      <alignment vertical="center"/>
    </xf>
    <xf numFmtId="9" fontId="1" fillId="2" borderId="5" xfId="1" applyNumberFormat="1" applyFont="1" applyFill="1" applyBorder="1" applyAlignment="1">
      <alignment vertical="center"/>
    </xf>
    <xf numFmtId="164" fontId="1" fillId="2" borderId="5" xfId="1" applyFont="1" applyFill="1" applyBorder="1" applyAlignment="1">
      <alignment vertical="center"/>
    </xf>
    <xf numFmtId="43" fontId="1" fillId="2" borderId="6" xfId="1" applyNumberFormat="1" applyFont="1" applyFill="1" applyBorder="1" applyAlignment="1">
      <alignment vertical="center"/>
    </xf>
    <xf numFmtId="9" fontId="1" fillId="2" borderId="6" xfId="1" applyNumberFormat="1" applyFont="1" applyFill="1" applyBorder="1" applyAlignment="1">
      <alignment vertical="center"/>
    </xf>
    <xf numFmtId="43" fontId="4" fillId="2" borderId="6" xfId="1" applyNumberFormat="1" applyFont="1" applyFill="1" applyBorder="1" applyAlignment="1">
      <alignment vertical="center"/>
    </xf>
    <xf numFmtId="164" fontId="1" fillId="2" borderId="6" xfId="1" applyFont="1" applyFill="1" applyBorder="1" applyAlignment="1">
      <alignment vertical="center"/>
    </xf>
    <xf numFmtId="43" fontId="1" fillId="2" borderId="3" xfId="1" applyNumberFormat="1" applyFont="1" applyFill="1" applyBorder="1" applyAlignment="1">
      <alignment vertical="center"/>
    </xf>
    <xf numFmtId="43" fontId="1" fillId="3" borderId="1" xfId="1" applyNumberFormat="1" applyFont="1" applyFill="1" applyBorder="1" applyAlignment="1">
      <alignment vertical="center"/>
    </xf>
    <xf numFmtId="9" fontId="1" fillId="3" borderId="1" xfId="1" applyNumberFormat="1" applyFont="1" applyFill="1" applyBorder="1" applyAlignment="1">
      <alignment vertical="center"/>
    </xf>
    <xf numFmtId="164" fontId="1" fillId="3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vertical="center"/>
    </xf>
    <xf numFmtId="43" fontId="1" fillId="2" borderId="1" xfId="1" applyNumberFormat="1" applyFont="1" applyFill="1" applyBorder="1" applyAlignment="1">
      <alignment vertical="center"/>
    </xf>
    <xf numFmtId="9" fontId="1" fillId="2" borderId="1" xfId="1" applyNumberFormat="1" applyFont="1" applyFill="1" applyBorder="1" applyAlignment="1">
      <alignment vertical="center"/>
    </xf>
    <xf numFmtId="15" fontId="1" fillId="2" borderId="1" xfId="0" applyNumberFormat="1" applyFont="1" applyFill="1" applyBorder="1" applyAlignment="1">
      <alignment horizontal="center" vertical="center"/>
    </xf>
    <xf numFmtId="15" fontId="1" fillId="2" borderId="1" xfId="0" applyNumberFormat="1" applyFont="1" applyFill="1" applyBorder="1" applyAlignment="1">
      <alignment vertical="center"/>
    </xf>
    <xf numFmtId="14" fontId="1" fillId="2" borderId="1" xfId="1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15" fontId="1" fillId="3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3" fontId="1" fillId="2" borderId="2" xfId="1" applyNumberFormat="1" applyFont="1" applyFill="1" applyBorder="1" applyAlignment="1">
      <alignment vertical="center"/>
    </xf>
    <xf numFmtId="43" fontId="4" fillId="2" borderId="2" xfId="1" applyNumberFormat="1" applyFont="1" applyFill="1" applyBorder="1" applyAlignment="1">
      <alignment vertical="center"/>
    </xf>
    <xf numFmtId="164" fontId="1" fillId="2" borderId="2" xfId="1" applyFont="1" applyFill="1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164" fontId="4" fillId="2" borderId="1" xfId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164" fontId="1" fillId="2" borderId="0" xfId="1" applyFont="1" applyFill="1" applyBorder="1" applyAlignment="1">
      <alignment vertical="center"/>
    </xf>
    <xf numFmtId="0" fontId="0" fillId="2" borderId="1" xfId="0" applyFill="1" applyBorder="1" applyAlignment="1">
      <alignment vertical="center" wrapText="1"/>
    </xf>
    <xf numFmtId="43" fontId="0" fillId="2" borderId="1" xfId="1" applyNumberFormat="1" applyFont="1" applyFill="1" applyBorder="1" applyAlignment="1">
      <alignment vertical="center"/>
    </xf>
    <xf numFmtId="43" fontId="9" fillId="2" borderId="1" xfId="1" applyNumberFormat="1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43" fontId="1" fillId="6" borderId="6" xfId="1" applyNumberFormat="1" applyFont="1" applyFill="1" applyBorder="1" applyAlignment="1">
      <alignment vertical="center"/>
    </xf>
    <xf numFmtId="0" fontId="13" fillId="0" borderId="0" xfId="0" applyFont="1" applyAlignment="1">
      <alignment vertical="center" wrapText="1"/>
    </xf>
    <xf numFmtId="0" fontId="14" fillId="2" borderId="0" xfId="0" applyFont="1" applyFill="1" applyAlignment="1">
      <alignment vertical="center"/>
    </xf>
    <xf numFmtId="0" fontId="14" fillId="3" borderId="1" xfId="0" applyFont="1" applyFill="1" applyBorder="1" applyAlignment="1">
      <alignment vertical="center"/>
    </xf>
    <xf numFmtId="0" fontId="14" fillId="3" borderId="1" xfId="0" applyFont="1" applyFill="1" applyBorder="1" applyAlignment="1">
      <alignment vertical="center" wrapText="1"/>
    </xf>
    <xf numFmtId="15" fontId="14" fillId="3" borderId="1" xfId="0" applyNumberFormat="1" applyFont="1" applyFill="1" applyBorder="1" applyAlignment="1">
      <alignment vertical="center"/>
    </xf>
    <xf numFmtId="43" fontId="14" fillId="3" borderId="1" xfId="1" applyNumberFormat="1" applyFont="1" applyFill="1" applyBorder="1" applyAlignment="1">
      <alignment vertical="center"/>
    </xf>
    <xf numFmtId="164" fontId="14" fillId="3" borderId="1" xfId="1" applyFont="1" applyFill="1" applyBorder="1" applyAlignment="1">
      <alignment vertical="center"/>
    </xf>
    <xf numFmtId="0" fontId="12" fillId="4" borderId="1" xfId="0" applyFont="1" applyFill="1" applyBorder="1" applyAlignment="1">
      <alignment vertical="center"/>
    </xf>
    <xf numFmtId="43" fontId="1" fillId="2" borderId="6" xfId="0" applyNumberFormat="1" applyFont="1" applyFill="1" applyBorder="1" applyAlignment="1">
      <alignment vertical="center"/>
    </xf>
    <xf numFmtId="0" fontId="1" fillId="2" borderId="17" xfId="0" applyFont="1" applyFill="1" applyBorder="1" applyAlignment="1">
      <alignment vertical="center"/>
    </xf>
    <xf numFmtId="164" fontId="11" fillId="2" borderId="14" xfId="1" applyFont="1" applyFill="1" applyBorder="1" applyAlignment="1">
      <alignment horizontal="center" vertical="center"/>
    </xf>
    <xf numFmtId="164" fontId="11" fillId="2" borderId="16" xfId="1" applyFont="1" applyFill="1" applyBorder="1" applyAlignment="1">
      <alignment horizontal="center" vertical="center"/>
    </xf>
    <xf numFmtId="164" fontId="11" fillId="2" borderId="14" xfId="1" applyFont="1" applyFill="1" applyBorder="1" applyAlignment="1">
      <alignment horizontal="right"/>
    </xf>
    <xf numFmtId="164" fontId="11" fillId="2" borderId="15" xfId="1" applyFont="1" applyFill="1" applyBorder="1" applyAlignment="1">
      <alignment horizontal="right"/>
    </xf>
    <xf numFmtId="164" fontId="10" fillId="2" borderId="8" xfId="1" applyFont="1" applyFill="1" applyBorder="1" applyAlignment="1">
      <alignment horizontal="center" vertical="center"/>
    </xf>
    <xf numFmtId="164" fontId="10" fillId="2" borderId="9" xfId="1" applyFont="1" applyFill="1" applyBorder="1" applyAlignment="1">
      <alignment horizontal="center" vertical="center"/>
    </xf>
    <xf numFmtId="164" fontId="10" fillId="2" borderId="10" xfId="1" applyFont="1" applyFill="1" applyBorder="1" applyAlignment="1">
      <alignment horizontal="center" vertical="center"/>
    </xf>
    <xf numFmtId="165" fontId="11" fillId="2" borderId="11" xfId="1" applyNumberFormat="1" applyFont="1" applyFill="1" applyBorder="1" applyAlignment="1">
      <alignment horizontal="center" vertical="center"/>
    </xf>
    <xf numFmtId="165" fontId="11" fillId="2" borderId="12" xfId="1" applyNumberFormat="1" applyFont="1" applyFill="1" applyBorder="1" applyAlignment="1">
      <alignment horizontal="center" vertical="center"/>
    </xf>
    <xf numFmtId="165" fontId="11" fillId="2" borderId="13" xfId="1" applyNumberFormat="1" applyFont="1" applyFill="1" applyBorder="1" applyAlignment="1">
      <alignment horizontal="center" vertical="center"/>
    </xf>
    <xf numFmtId="164" fontId="11" fillId="2" borderId="11" xfId="1" applyFont="1" applyFill="1" applyBorder="1" applyAlignment="1">
      <alignment horizontal="center" vertical="center"/>
    </xf>
    <xf numFmtId="164" fontId="11" fillId="2" borderId="12" xfId="1" applyFont="1" applyFill="1" applyBorder="1" applyAlignment="1">
      <alignment horizontal="center" vertical="center"/>
    </xf>
    <xf numFmtId="164" fontId="11" fillId="2" borderId="14" xfId="1" applyFont="1" applyFill="1" applyBorder="1" applyAlignment="1">
      <alignment horizontal="center"/>
    </xf>
    <xf numFmtId="164" fontId="11" fillId="2" borderId="15" xfId="1" applyFont="1" applyFill="1" applyBorder="1" applyAlignment="1">
      <alignment horizontal="center"/>
    </xf>
    <xf numFmtId="164" fontId="11" fillId="2" borderId="13" xfId="1" applyFont="1" applyFill="1" applyBorder="1" applyAlignment="1">
      <alignment horizontal="center" vertical="center"/>
    </xf>
    <xf numFmtId="164" fontId="11" fillId="2" borderId="11" xfId="1" applyFont="1" applyFill="1" applyBorder="1" applyAlignment="1">
      <alignment horizontal="center"/>
    </xf>
    <xf numFmtId="164" fontId="11" fillId="2" borderId="13" xfId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Title" xfId="2" builtinId="15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M375"/>
  <sheetViews>
    <sheetView tabSelected="1" topLeftCell="J351" zoomScale="85" zoomScaleNormal="85" zoomScaleSheetLayoutView="100" workbookViewId="0">
      <selection activeCell="V374" sqref="V374"/>
    </sheetView>
  </sheetViews>
  <sheetFormatPr defaultColWidth="9" defaultRowHeight="20.100000000000001" customHeight="1" x14ac:dyDescent="0.25"/>
  <cols>
    <col min="1" max="1" width="14.5703125" style="9" customWidth="1"/>
    <col min="2" max="2" width="27.7109375" style="9" customWidth="1"/>
    <col min="3" max="3" width="13.28515625" style="9" customWidth="1"/>
    <col min="4" max="4" width="11.7109375" style="9" customWidth="1"/>
    <col min="5" max="5" width="16.7109375" style="9" bestFit="1" customWidth="1"/>
    <col min="6" max="6" width="11.5703125" style="9" customWidth="1"/>
    <col min="7" max="7" width="17.42578125" style="9" customWidth="1"/>
    <col min="8" max="8" width="16" style="10" customWidth="1"/>
    <col min="9" max="9" width="17.28515625" style="10" customWidth="1"/>
    <col min="10" max="10" width="14.28515625" style="9" customWidth="1"/>
    <col min="11" max="11" width="15.42578125" style="9" customWidth="1"/>
    <col min="12" max="12" width="15" style="9" customWidth="1"/>
    <col min="13" max="14" width="16" style="9" customWidth="1"/>
    <col min="15" max="15" width="17.28515625" style="9" customWidth="1"/>
    <col min="16" max="16" width="7.5703125" style="2" customWidth="1"/>
    <col min="17" max="17" width="16.7109375" style="11" bestFit="1" customWidth="1"/>
    <col min="18" max="18" width="16.7109375" style="9" bestFit="1" customWidth="1"/>
    <col min="19" max="19" width="20.42578125" style="11" customWidth="1"/>
    <col min="20" max="20" width="16" style="11" bestFit="1" customWidth="1"/>
    <col min="21" max="21" width="17.5703125" style="9" bestFit="1" customWidth="1"/>
    <col min="22" max="22" width="100" style="9" bestFit="1" customWidth="1"/>
    <col min="23" max="23" width="16.28515625" style="9" bestFit="1" customWidth="1"/>
    <col min="24" max="16384" width="9" style="9"/>
  </cols>
  <sheetData>
    <row r="1" spans="1:64" ht="20.100000000000001" customHeight="1" x14ac:dyDescent="0.25">
      <c r="A1" s="28" t="s">
        <v>218</v>
      </c>
      <c r="B1" s="29" t="s">
        <v>227</v>
      </c>
    </row>
    <row r="2" spans="1:64" ht="20.100000000000001" customHeight="1" x14ac:dyDescent="0.25">
      <c r="A2" s="30" t="s">
        <v>219</v>
      </c>
      <c r="B2" s="31" t="s">
        <v>220</v>
      </c>
    </row>
    <row r="3" spans="1:64" ht="20.100000000000001" customHeight="1" x14ac:dyDescent="0.25">
      <c r="A3" s="33" t="s">
        <v>228</v>
      </c>
      <c r="B3" s="32">
        <f>I364</f>
        <v>162378548</v>
      </c>
    </row>
    <row r="4" spans="1:64" ht="20.100000000000001" customHeight="1" x14ac:dyDescent="0.25">
      <c r="A4" s="33" t="s">
        <v>221</v>
      </c>
      <c r="B4" s="32">
        <f>H364</f>
        <v>24769610</v>
      </c>
    </row>
    <row r="5" spans="1:64" ht="20.100000000000001" customHeight="1" x14ac:dyDescent="0.25">
      <c r="A5" s="28" t="s">
        <v>222</v>
      </c>
      <c r="B5" s="34">
        <f>K364+L364</f>
        <v>7417253.0999999987</v>
      </c>
    </row>
    <row r="6" spans="1:64" ht="20.100000000000001" customHeight="1" x14ac:dyDescent="0.25">
      <c r="A6" s="28" t="s">
        <v>223</v>
      </c>
      <c r="B6" s="34">
        <f>N364</f>
        <v>18320382.560000002</v>
      </c>
    </row>
    <row r="7" spans="1:64" ht="20.100000000000001" customHeight="1" x14ac:dyDescent="0.25">
      <c r="A7" s="28" t="s">
        <v>224</v>
      </c>
      <c r="B7" s="34">
        <f>R364</f>
        <v>167183492</v>
      </c>
    </row>
    <row r="8" spans="1:64" ht="20.100000000000001" customHeight="1" x14ac:dyDescent="0.25">
      <c r="A8" s="28" t="s">
        <v>225</v>
      </c>
      <c r="B8" s="34">
        <f>U366</f>
        <v>-29203753</v>
      </c>
    </row>
    <row r="9" spans="1:64" ht="20.100000000000001" customHeight="1" x14ac:dyDescent="0.25">
      <c r="A9" s="28" t="s">
        <v>226</v>
      </c>
      <c r="B9" s="35">
        <v>45857</v>
      </c>
    </row>
    <row r="10" spans="1:64" ht="20.100000000000001" customHeight="1" thickBot="1" x14ac:dyDescent="0.3">
      <c r="D10" s="9" t="s">
        <v>16</v>
      </c>
      <c r="H10" s="36"/>
      <c r="I10" s="36"/>
      <c r="P10" s="3"/>
      <c r="R10" s="20"/>
      <c r="S10" s="37"/>
      <c r="T10" s="37"/>
      <c r="U10" s="20"/>
      <c r="V10" s="20"/>
      <c r="W10" s="20"/>
    </row>
    <row r="11" spans="1:64" ht="31.5" customHeight="1" thickBot="1" x14ac:dyDescent="0.3">
      <c r="A11" s="38" t="s">
        <v>229</v>
      </c>
      <c r="B11" s="4" t="s">
        <v>0</v>
      </c>
      <c r="C11" s="4" t="s">
        <v>1</v>
      </c>
      <c r="D11" s="4" t="s">
        <v>2</v>
      </c>
      <c r="E11" s="4" t="s">
        <v>3</v>
      </c>
      <c r="F11" s="4" t="s">
        <v>12</v>
      </c>
      <c r="G11" s="21" t="s">
        <v>13</v>
      </c>
      <c r="H11" s="39" t="s">
        <v>4</v>
      </c>
      <c r="I11" s="40" t="s">
        <v>5</v>
      </c>
      <c r="J11" s="21" t="s">
        <v>15</v>
      </c>
      <c r="K11" s="21" t="s">
        <v>10</v>
      </c>
      <c r="L11" s="21" t="s">
        <v>14</v>
      </c>
      <c r="M11" s="21" t="s">
        <v>6</v>
      </c>
      <c r="N11" s="21" t="s">
        <v>284</v>
      </c>
      <c r="O11" s="21" t="s">
        <v>7</v>
      </c>
      <c r="P11" s="4"/>
      <c r="Q11" s="41" t="s">
        <v>55</v>
      </c>
      <c r="R11" s="21" t="s">
        <v>5</v>
      </c>
      <c r="S11" s="41" t="s">
        <v>11</v>
      </c>
      <c r="T11" s="41" t="s">
        <v>82</v>
      </c>
      <c r="U11" s="21" t="s">
        <v>8</v>
      </c>
      <c r="V11" s="21" t="s">
        <v>9</v>
      </c>
      <c r="W11" s="21"/>
    </row>
    <row r="12" spans="1:64" ht="20.100000000000001" customHeight="1" thickBot="1" x14ac:dyDescent="0.3">
      <c r="A12" s="12"/>
      <c r="B12" s="42"/>
      <c r="C12" s="42"/>
      <c r="D12" s="42"/>
      <c r="E12" s="42"/>
      <c r="F12" s="42"/>
      <c r="G12" s="42"/>
      <c r="H12" s="42"/>
      <c r="I12" s="42"/>
      <c r="J12" s="43">
        <v>0.02</v>
      </c>
      <c r="K12" s="43">
        <v>0.05</v>
      </c>
      <c r="L12" s="43">
        <v>0</v>
      </c>
      <c r="M12" s="42"/>
      <c r="N12" s="42"/>
      <c r="O12" s="42"/>
      <c r="P12" s="5"/>
      <c r="Q12" s="44"/>
      <c r="R12" s="42"/>
      <c r="S12" s="44">
        <v>0.01</v>
      </c>
      <c r="T12" s="44"/>
      <c r="U12" s="42"/>
      <c r="V12" s="42"/>
      <c r="W12" s="42"/>
    </row>
    <row r="13" spans="1:64" ht="20.100000000000001" customHeight="1" x14ac:dyDescent="0.25">
      <c r="A13" s="13"/>
      <c r="B13" s="45"/>
      <c r="C13" s="45"/>
      <c r="D13" s="45"/>
      <c r="E13" s="45"/>
      <c r="F13" s="45"/>
      <c r="G13" s="45"/>
      <c r="H13" s="45"/>
      <c r="I13" s="45"/>
      <c r="J13" s="46"/>
      <c r="K13" s="46"/>
      <c r="L13" s="46"/>
      <c r="M13" s="45"/>
      <c r="N13" s="45"/>
      <c r="O13" s="45"/>
      <c r="P13" s="47"/>
      <c r="Q13" s="45"/>
      <c r="R13" s="48"/>
      <c r="S13" s="45"/>
      <c r="T13" s="48"/>
      <c r="U13" s="48"/>
      <c r="V13" s="49"/>
      <c r="W13" s="48"/>
    </row>
    <row r="14" spans="1:64" s="16" customFormat="1" ht="20.100000000000001" customHeight="1" x14ac:dyDescent="0.25">
      <c r="A14" s="14">
        <v>65262</v>
      </c>
      <c r="B14" s="50"/>
      <c r="C14" s="50"/>
      <c r="D14" s="50"/>
      <c r="E14" s="50"/>
      <c r="F14" s="50"/>
      <c r="G14" s="50"/>
      <c r="H14" s="50"/>
      <c r="I14" s="50"/>
      <c r="J14" s="51"/>
      <c r="K14" s="51"/>
      <c r="L14" s="51"/>
      <c r="M14" s="50"/>
      <c r="N14" s="50"/>
      <c r="O14" s="50"/>
      <c r="P14" s="6">
        <f>A14</f>
        <v>65262</v>
      </c>
      <c r="Q14" s="50"/>
      <c r="R14" s="52"/>
      <c r="S14" s="52"/>
      <c r="T14" s="14"/>
      <c r="U14" s="50"/>
      <c r="V14" s="50"/>
      <c r="W14" s="50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</row>
    <row r="15" spans="1:64" ht="20.100000000000001" customHeight="1" x14ac:dyDescent="0.25">
      <c r="A15" s="13"/>
      <c r="B15" s="45" t="s">
        <v>315</v>
      </c>
      <c r="C15" s="45"/>
      <c r="D15" s="45"/>
      <c r="E15" s="45"/>
      <c r="F15" s="45"/>
      <c r="G15" s="45"/>
      <c r="H15" s="45"/>
      <c r="I15" s="45"/>
      <c r="J15" s="46"/>
      <c r="K15" s="46"/>
      <c r="L15" s="46"/>
      <c r="M15" s="45"/>
      <c r="N15" s="45"/>
      <c r="O15" s="45"/>
      <c r="P15" s="7"/>
      <c r="Q15" s="45">
        <v>1365000</v>
      </c>
      <c r="R15" s="48">
        <v>3000000</v>
      </c>
      <c r="S15" s="53">
        <f t="shared" ref="S15:S16" si="0">R15*2%</f>
        <v>60000</v>
      </c>
      <c r="T15" s="53">
        <f>Q15-SUM(R15:R16)</f>
        <v>-3635000</v>
      </c>
      <c r="U15" s="45">
        <v>2940000</v>
      </c>
      <c r="V15" s="45" t="s">
        <v>254</v>
      </c>
      <c r="W15" s="45"/>
    </row>
    <row r="16" spans="1:64" ht="20.100000000000001" customHeight="1" x14ac:dyDescent="0.25">
      <c r="A16" s="13"/>
      <c r="B16" s="45" t="s">
        <v>265</v>
      </c>
      <c r="C16" s="45"/>
      <c r="D16" s="45"/>
      <c r="E16" s="45"/>
      <c r="F16" s="45"/>
      <c r="G16" s="45"/>
      <c r="H16" s="45"/>
      <c r="I16" s="45"/>
      <c r="J16" s="46"/>
      <c r="K16" s="46"/>
      <c r="L16" s="46"/>
      <c r="M16" s="45"/>
      <c r="N16" s="45"/>
      <c r="O16" s="45"/>
      <c r="P16" s="7"/>
      <c r="Q16" s="45"/>
      <c r="R16" s="48">
        <v>2000000</v>
      </c>
      <c r="S16" s="53">
        <f t="shared" si="0"/>
        <v>40000</v>
      </c>
      <c r="T16" s="48"/>
      <c r="U16" s="45">
        <v>1960000</v>
      </c>
      <c r="V16" s="45" t="s">
        <v>255</v>
      </c>
      <c r="W16" s="54">
        <f>SUM(O14:O16)-SUM(U15:U16)</f>
        <v>-4900000</v>
      </c>
    </row>
    <row r="17" spans="1:65" s="16" customFormat="1" ht="20.100000000000001" customHeight="1" x14ac:dyDescent="0.25">
      <c r="A17" s="14">
        <v>65263</v>
      </c>
      <c r="B17" s="50"/>
      <c r="C17" s="50"/>
      <c r="D17" s="50"/>
      <c r="E17" s="50"/>
      <c r="F17" s="50"/>
      <c r="G17" s="50"/>
      <c r="H17" s="50"/>
      <c r="I17" s="50"/>
      <c r="J17" s="51"/>
      <c r="K17" s="51"/>
      <c r="L17" s="51"/>
      <c r="M17" s="50"/>
      <c r="N17" s="50"/>
      <c r="O17" s="50"/>
      <c r="P17" s="6">
        <f>A17</f>
        <v>65263</v>
      </c>
      <c r="Q17" s="50"/>
      <c r="R17" s="52"/>
      <c r="S17" s="52"/>
      <c r="T17" s="52"/>
      <c r="U17" s="14"/>
      <c r="V17" s="50"/>
      <c r="W17" s="14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</row>
    <row r="18" spans="1:65" ht="20.100000000000001" customHeight="1" x14ac:dyDescent="0.25">
      <c r="A18" s="86"/>
      <c r="B18" s="45" t="s">
        <v>262</v>
      </c>
      <c r="C18" s="45"/>
      <c r="D18" s="45"/>
      <c r="E18" s="45"/>
      <c r="F18" s="45"/>
      <c r="G18" s="45"/>
      <c r="H18" s="45"/>
      <c r="I18" s="45"/>
      <c r="J18" s="46"/>
      <c r="K18" s="46"/>
      <c r="L18" s="46"/>
      <c r="M18" s="45"/>
      <c r="N18" s="45"/>
      <c r="O18" s="45"/>
      <c r="P18" s="7"/>
      <c r="Q18" s="45">
        <v>1365000</v>
      </c>
      <c r="R18" s="48">
        <v>3000000</v>
      </c>
      <c r="S18" s="53">
        <f t="shared" ref="S18:S19" si="1">R18*2%</f>
        <v>60000</v>
      </c>
      <c r="T18" s="53">
        <f>Q19-SUM(R18:R19)</f>
        <v>-3839750</v>
      </c>
      <c r="U18" s="45">
        <v>2940000</v>
      </c>
      <c r="V18" s="45" t="s">
        <v>256</v>
      </c>
      <c r="W18" s="45"/>
    </row>
    <row r="19" spans="1:65" ht="20.100000000000001" customHeight="1" x14ac:dyDescent="0.25">
      <c r="A19" s="13"/>
      <c r="B19" s="45" t="s">
        <v>265</v>
      </c>
      <c r="C19" s="45"/>
      <c r="D19" s="45"/>
      <c r="E19" s="45"/>
      <c r="F19" s="45"/>
      <c r="G19" s="45"/>
      <c r="H19" s="45"/>
      <c r="I19" s="45"/>
      <c r="J19" s="46"/>
      <c r="K19" s="46"/>
      <c r="L19" s="46"/>
      <c r="M19" s="45"/>
      <c r="N19" s="45"/>
      <c r="O19" s="45"/>
      <c r="P19" s="7"/>
      <c r="Q19" s="85">
        <f>Q18*85%</f>
        <v>1160250</v>
      </c>
      <c r="R19" s="48">
        <v>2000000</v>
      </c>
      <c r="S19" s="53">
        <f t="shared" si="1"/>
        <v>40000</v>
      </c>
      <c r="T19" s="48"/>
      <c r="U19" s="45">
        <v>1960000</v>
      </c>
      <c r="V19" s="45" t="s">
        <v>257</v>
      </c>
      <c r="W19" s="54">
        <f>SUM(O17:O19)-SUM(U18:U19)</f>
        <v>-4900000</v>
      </c>
    </row>
    <row r="20" spans="1:65" ht="20.100000000000001" customHeight="1" x14ac:dyDescent="0.25">
      <c r="A20" s="13"/>
      <c r="B20" s="45"/>
      <c r="C20" s="45"/>
      <c r="D20" s="45"/>
      <c r="E20" s="45"/>
      <c r="F20" s="45"/>
      <c r="G20" s="45"/>
      <c r="H20" s="45"/>
      <c r="I20" s="45"/>
      <c r="J20" s="46"/>
      <c r="K20" s="46"/>
      <c r="L20" s="46"/>
      <c r="M20" s="45"/>
      <c r="N20" s="45"/>
      <c r="O20" s="45"/>
      <c r="P20" s="7"/>
      <c r="Q20" s="85"/>
      <c r="R20" s="48"/>
      <c r="S20" s="53"/>
      <c r="T20" s="48"/>
      <c r="U20" s="45"/>
      <c r="V20" s="45"/>
      <c r="W20" s="54"/>
    </row>
    <row r="21" spans="1:65" ht="20.100000000000001" customHeight="1" x14ac:dyDescent="0.25">
      <c r="A21" s="13"/>
      <c r="B21" s="45"/>
      <c r="C21" s="45"/>
      <c r="D21" s="45"/>
      <c r="E21" s="45"/>
      <c r="F21" s="45"/>
      <c r="G21" s="45"/>
      <c r="H21" s="45"/>
      <c r="I21" s="45"/>
      <c r="J21" s="46"/>
      <c r="K21" s="46"/>
      <c r="L21" s="46"/>
      <c r="M21" s="45"/>
      <c r="N21" s="45"/>
      <c r="O21" s="45"/>
      <c r="P21" s="7"/>
      <c r="Q21" s="85"/>
      <c r="R21" s="48"/>
      <c r="S21" s="53"/>
      <c r="T21" s="48"/>
      <c r="U21" s="45"/>
      <c r="V21" s="45"/>
      <c r="W21" s="54"/>
    </row>
    <row r="22" spans="1:65" s="16" customFormat="1" ht="20.100000000000001" customHeight="1" x14ac:dyDescent="0.25">
      <c r="A22" s="14">
        <v>65264</v>
      </c>
      <c r="B22" s="50"/>
      <c r="C22" s="50"/>
      <c r="D22" s="50"/>
      <c r="E22" s="50"/>
      <c r="F22" s="50"/>
      <c r="G22" s="50"/>
      <c r="H22" s="50"/>
      <c r="I22" s="50"/>
      <c r="J22" s="51"/>
      <c r="K22" s="51"/>
      <c r="L22" s="51"/>
      <c r="M22" s="50"/>
      <c r="N22" s="50"/>
      <c r="O22" s="50"/>
      <c r="P22" s="6">
        <f>A22</f>
        <v>65264</v>
      </c>
      <c r="Q22" s="50"/>
      <c r="R22" s="52"/>
      <c r="S22" s="52"/>
      <c r="T22" s="52"/>
      <c r="U22" s="14"/>
      <c r="V22" s="50"/>
      <c r="W22" s="14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</row>
    <row r="23" spans="1:65" ht="20.100000000000001" customHeight="1" x14ac:dyDescent="0.25">
      <c r="B23" s="45" t="s">
        <v>263</v>
      </c>
      <c r="C23" s="45"/>
      <c r="D23" s="45"/>
      <c r="E23" s="45"/>
      <c r="F23" s="45"/>
      <c r="G23" s="45"/>
      <c r="H23" s="45"/>
      <c r="I23" s="45"/>
      <c r="J23" s="46"/>
      <c r="K23" s="46"/>
      <c r="L23" s="46"/>
      <c r="M23" s="45"/>
      <c r="N23" s="45"/>
      <c r="O23" s="45"/>
      <c r="P23" s="7"/>
      <c r="Q23" s="45">
        <v>2598750</v>
      </c>
      <c r="R23" s="48">
        <v>3500000</v>
      </c>
      <c r="S23" s="53">
        <f t="shared" ref="S23:S24" si="2">R23*2%</f>
        <v>70000</v>
      </c>
      <c r="T23" s="53">
        <f>Q24-SUM(R23:R24)</f>
        <v>-4050937.5</v>
      </c>
      <c r="U23" s="76">
        <v>2450000</v>
      </c>
      <c r="V23" s="45" t="s">
        <v>258</v>
      </c>
      <c r="W23" s="45"/>
    </row>
    <row r="24" spans="1:65" ht="20.100000000000001" customHeight="1" x14ac:dyDescent="0.25">
      <c r="A24" s="13"/>
      <c r="B24" s="45" t="s">
        <v>265</v>
      </c>
      <c r="C24" s="45"/>
      <c r="D24" s="45"/>
      <c r="E24" s="45"/>
      <c r="F24" s="45"/>
      <c r="G24" s="45"/>
      <c r="H24" s="45"/>
      <c r="I24" s="45"/>
      <c r="J24" s="46"/>
      <c r="K24" s="46"/>
      <c r="L24" s="46"/>
      <c r="M24" s="45"/>
      <c r="N24" s="45"/>
      <c r="O24" s="45"/>
      <c r="P24" s="7"/>
      <c r="Q24" s="45">
        <f>Q23*75%</f>
        <v>1949062.5</v>
      </c>
      <c r="R24" s="48">
        <v>2500000</v>
      </c>
      <c r="S24" s="53">
        <f t="shared" si="2"/>
        <v>50000</v>
      </c>
      <c r="T24" s="48"/>
      <c r="U24" s="45">
        <v>2450000</v>
      </c>
      <c r="V24" s="45" t="s">
        <v>259</v>
      </c>
      <c r="W24" s="54">
        <f>SUM(O22:O24)-SUM(U23:U24)</f>
        <v>-4900000</v>
      </c>
    </row>
    <row r="25" spans="1:65" s="16" customFormat="1" ht="20.100000000000001" customHeight="1" x14ac:dyDescent="0.25">
      <c r="A25" s="14">
        <v>65265</v>
      </c>
      <c r="B25" s="50"/>
      <c r="C25" s="50"/>
      <c r="D25" s="50"/>
      <c r="E25" s="50"/>
      <c r="F25" s="50"/>
      <c r="G25" s="50"/>
      <c r="H25" s="50"/>
      <c r="I25" s="50"/>
      <c r="J25" s="51"/>
      <c r="K25" s="51"/>
      <c r="L25" s="51"/>
      <c r="M25" s="50"/>
      <c r="N25" s="50"/>
      <c r="O25" s="50"/>
      <c r="P25" s="6">
        <f>A25</f>
        <v>65265</v>
      </c>
      <c r="Q25" s="50"/>
      <c r="R25" s="52"/>
      <c r="S25" s="52"/>
      <c r="T25" s="52"/>
      <c r="U25" s="14"/>
      <c r="V25" s="50"/>
      <c r="W25" s="14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</row>
    <row r="26" spans="1:65" ht="20.100000000000001" customHeight="1" x14ac:dyDescent="0.25">
      <c r="A26" s="13"/>
      <c r="B26" s="45" t="s">
        <v>264</v>
      </c>
      <c r="C26" s="45"/>
      <c r="D26" s="45"/>
      <c r="E26" s="45"/>
      <c r="F26" s="45"/>
      <c r="G26" s="45"/>
      <c r="H26" s="45"/>
      <c r="I26" s="45"/>
      <c r="J26" s="46"/>
      <c r="K26" s="46"/>
      <c r="L26" s="46"/>
      <c r="M26" s="45"/>
      <c r="N26" s="45"/>
      <c r="O26" s="45"/>
      <c r="P26" s="7"/>
      <c r="Q26" s="45">
        <v>2756250</v>
      </c>
      <c r="R26" s="48">
        <v>3000000</v>
      </c>
      <c r="S26" s="53">
        <f t="shared" ref="S26:S27" si="3">R26*2%</f>
        <v>60000</v>
      </c>
      <c r="T26" s="53">
        <f>Q27-SUM(R26:R28)</f>
        <v>-3070625</v>
      </c>
      <c r="U26" s="45">
        <v>2940000</v>
      </c>
      <c r="V26" s="45" t="s">
        <v>260</v>
      </c>
      <c r="W26" s="45"/>
    </row>
    <row r="27" spans="1:65" ht="20.100000000000001" customHeight="1" x14ac:dyDescent="0.25">
      <c r="A27" s="17"/>
      <c r="B27" s="45" t="s">
        <v>265</v>
      </c>
      <c r="C27" s="54"/>
      <c r="D27" s="54"/>
      <c r="E27" s="54"/>
      <c r="F27" s="54"/>
      <c r="G27" s="54"/>
      <c r="H27" s="54"/>
      <c r="I27" s="54"/>
      <c r="J27" s="55"/>
      <c r="K27" s="55"/>
      <c r="L27" s="55"/>
      <c r="M27" s="54"/>
      <c r="N27" s="54"/>
      <c r="O27" s="54"/>
      <c r="P27" s="8"/>
      <c r="Q27" s="54">
        <f>Q26*70%</f>
        <v>1929374.9999999998</v>
      </c>
      <c r="R27" s="53">
        <v>2000000</v>
      </c>
      <c r="S27" s="53">
        <f t="shared" si="3"/>
        <v>40000</v>
      </c>
      <c r="T27" s="53"/>
      <c r="U27" s="54">
        <v>1960000</v>
      </c>
      <c r="V27" s="54" t="s">
        <v>261</v>
      </c>
      <c r="W27" s="54"/>
    </row>
    <row r="28" spans="1:65" ht="20.100000000000001" customHeight="1" x14ac:dyDescent="0.25">
      <c r="A28" s="13"/>
      <c r="B28" s="45"/>
      <c r="C28" s="45"/>
      <c r="D28" s="45"/>
      <c r="E28" s="45"/>
      <c r="F28" s="45"/>
      <c r="G28" s="45"/>
      <c r="H28" s="45"/>
      <c r="I28" s="45"/>
      <c r="J28" s="46"/>
      <c r="K28" s="46"/>
      <c r="L28" s="46"/>
      <c r="M28" s="45"/>
      <c r="N28" s="45"/>
      <c r="O28" s="45"/>
      <c r="P28" s="47"/>
      <c r="Q28" s="45"/>
      <c r="R28" s="48"/>
      <c r="S28" s="45"/>
      <c r="T28" s="48"/>
      <c r="U28" s="48"/>
      <c r="V28" s="48"/>
      <c r="W28" s="54">
        <f>SUM(O26:O28)-SUM(U26:U28)</f>
        <v>-4900000</v>
      </c>
    </row>
    <row r="29" spans="1:65" s="16" customFormat="1" ht="20.100000000000001" customHeight="1" x14ac:dyDescent="0.25">
      <c r="A29" s="14">
        <v>65669</v>
      </c>
      <c r="B29" s="50"/>
      <c r="C29" s="50"/>
      <c r="D29" s="50"/>
      <c r="E29" s="50"/>
      <c r="F29" s="50"/>
      <c r="G29" s="50"/>
      <c r="H29" s="50"/>
      <c r="I29" s="50"/>
      <c r="J29" s="51"/>
      <c r="K29" s="51"/>
      <c r="L29" s="51"/>
      <c r="M29" s="50"/>
      <c r="N29" s="50"/>
      <c r="O29" s="50"/>
      <c r="P29" s="6">
        <v>65669</v>
      </c>
      <c r="Q29" s="52"/>
      <c r="R29" s="50"/>
      <c r="S29" s="52"/>
      <c r="T29" s="52"/>
      <c r="V29" s="50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</row>
    <row r="30" spans="1:65" ht="20.100000000000001" customHeight="1" x14ac:dyDescent="0.25">
      <c r="A30" s="17"/>
      <c r="B30" s="54" t="s">
        <v>214</v>
      </c>
      <c r="C30" s="56">
        <v>45737</v>
      </c>
      <c r="D30" s="54">
        <v>152</v>
      </c>
      <c r="E30" s="54">
        <v>1365000</v>
      </c>
      <c r="F30" s="54">
        <v>0</v>
      </c>
      <c r="G30" s="54">
        <f>E30-F30</f>
        <v>1365000</v>
      </c>
      <c r="H30" s="54">
        <f>ROUND(G30*18%,0)</f>
        <v>245700</v>
      </c>
      <c r="I30" s="54">
        <f>G30+H30</f>
        <v>1610700</v>
      </c>
      <c r="J30" s="54">
        <f>ROUND(G30*$J$12,0)</f>
        <v>27300</v>
      </c>
      <c r="K30" s="54">
        <f>G30*5%</f>
        <v>68250</v>
      </c>
      <c r="L30" s="54">
        <v>0</v>
      </c>
      <c r="M30" s="54">
        <f>H30</f>
        <v>245700</v>
      </c>
      <c r="N30" s="54">
        <f>Q30*12%</f>
        <v>163800</v>
      </c>
      <c r="O30" s="54">
        <f>ROUND(I30-SUM(J30:N30),)</f>
        <v>1105650</v>
      </c>
      <c r="P30" s="8"/>
      <c r="Q30" s="53">
        <v>1365000</v>
      </c>
      <c r="R30" s="54">
        <v>1000000</v>
      </c>
      <c r="S30" s="53">
        <f>R30*2%</f>
        <v>20000</v>
      </c>
      <c r="T30" s="53">
        <f>Q31-SUM(R30:R32)</f>
        <v>365000</v>
      </c>
      <c r="U30" s="54">
        <v>980000</v>
      </c>
      <c r="V30" s="54" t="s">
        <v>235</v>
      </c>
      <c r="W30" s="54"/>
    </row>
    <row r="31" spans="1:65" ht="20.100000000000001" customHeight="1" x14ac:dyDescent="0.25">
      <c r="A31" s="17"/>
      <c r="B31" s="72" t="s">
        <v>244</v>
      </c>
      <c r="C31" s="54"/>
      <c r="D31" s="54">
        <v>152</v>
      </c>
      <c r="E31" s="54">
        <f>M30</f>
        <v>245700</v>
      </c>
      <c r="F31" s="54"/>
      <c r="G31" s="54"/>
      <c r="H31" s="54"/>
      <c r="I31" s="54"/>
      <c r="J31" s="55"/>
      <c r="K31" s="55"/>
      <c r="L31" s="55"/>
      <c r="M31" s="54"/>
      <c r="N31" s="54"/>
      <c r="O31" s="54">
        <f>E31</f>
        <v>245700</v>
      </c>
      <c r="P31" s="8"/>
      <c r="Q31" s="53">
        <f>Q30*100%</f>
        <v>1365000</v>
      </c>
      <c r="R31" s="54"/>
      <c r="S31" s="53"/>
      <c r="T31" s="53"/>
      <c r="U31" s="54"/>
      <c r="V31" s="54"/>
      <c r="W31" s="54"/>
    </row>
    <row r="32" spans="1:65" ht="20.100000000000001" customHeight="1" x14ac:dyDescent="0.25">
      <c r="A32" s="17"/>
      <c r="B32" s="54"/>
      <c r="C32" s="54"/>
      <c r="D32" s="54"/>
      <c r="E32" s="54"/>
      <c r="F32" s="54"/>
      <c r="G32" s="54"/>
      <c r="H32" s="54"/>
      <c r="I32" s="54"/>
      <c r="J32" s="55"/>
      <c r="K32" s="55"/>
      <c r="L32" s="55"/>
      <c r="M32" s="54"/>
      <c r="N32" s="54"/>
      <c r="O32" s="54"/>
      <c r="P32" s="8"/>
      <c r="Q32" s="53"/>
      <c r="R32" s="54"/>
      <c r="S32" s="53"/>
      <c r="T32" s="53"/>
      <c r="U32" s="54"/>
      <c r="V32" s="54"/>
      <c r="W32" s="54">
        <f>SUM(O30:O32)-SUM(U30:U32)</f>
        <v>371350</v>
      </c>
    </row>
    <row r="33" spans="1:65" s="16" customFormat="1" ht="20.100000000000001" customHeight="1" x14ac:dyDescent="0.25">
      <c r="A33" s="14">
        <v>65668</v>
      </c>
      <c r="B33" s="50"/>
      <c r="C33" s="50"/>
      <c r="D33" s="50"/>
      <c r="E33" s="50"/>
      <c r="F33" s="50"/>
      <c r="G33" s="50"/>
      <c r="H33" s="50"/>
      <c r="I33" s="50"/>
      <c r="J33" s="51"/>
      <c r="K33" s="51"/>
      <c r="L33" s="51"/>
      <c r="M33" s="50"/>
      <c r="N33" s="50"/>
      <c r="O33" s="50"/>
      <c r="P33" s="6">
        <v>65668</v>
      </c>
      <c r="Q33" s="52"/>
      <c r="R33" s="50"/>
      <c r="S33" s="52"/>
      <c r="T33" s="52"/>
      <c r="V33" s="50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</row>
    <row r="34" spans="1:65" ht="20.100000000000001" customHeight="1" x14ac:dyDescent="0.25">
      <c r="A34" s="17"/>
      <c r="B34" s="54" t="s">
        <v>213</v>
      </c>
      <c r="C34" s="56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8"/>
      <c r="Q34" s="53">
        <v>1365000</v>
      </c>
      <c r="R34" s="54">
        <v>1000000</v>
      </c>
      <c r="S34" s="53">
        <f>R34*2%</f>
        <v>20000</v>
      </c>
      <c r="T34" s="53">
        <f>Q34-SUM(R34:R36)</f>
        <v>365000</v>
      </c>
      <c r="U34" s="54">
        <v>980000</v>
      </c>
      <c r="V34" s="54" t="s">
        <v>230</v>
      </c>
      <c r="W34" s="54"/>
    </row>
    <row r="35" spans="1:65" ht="20.100000000000001" customHeight="1" x14ac:dyDescent="0.25">
      <c r="A35" s="17"/>
      <c r="B35" s="72" t="s">
        <v>244</v>
      </c>
      <c r="C35" s="54"/>
      <c r="D35" s="54"/>
      <c r="E35" s="54"/>
      <c r="F35" s="54"/>
      <c r="G35" s="54"/>
      <c r="H35" s="54"/>
      <c r="I35" s="54"/>
      <c r="J35" s="55"/>
      <c r="K35" s="55"/>
      <c r="L35" s="55"/>
      <c r="M35" s="54"/>
      <c r="N35" s="54"/>
      <c r="O35" s="54"/>
      <c r="P35" s="8"/>
      <c r="Q35" s="53">
        <f>Q34*100%</f>
        <v>1365000</v>
      </c>
      <c r="R35" s="54"/>
      <c r="S35" s="53"/>
      <c r="T35" s="53"/>
      <c r="U35" s="54"/>
      <c r="V35" s="54"/>
      <c r="W35" s="54"/>
    </row>
    <row r="36" spans="1:65" ht="20.100000000000001" customHeight="1" x14ac:dyDescent="0.25">
      <c r="A36" s="17"/>
      <c r="B36" s="54"/>
      <c r="C36" s="54"/>
      <c r="D36" s="54"/>
      <c r="E36" s="54"/>
      <c r="F36" s="54"/>
      <c r="G36" s="54"/>
      <c r="H36" s="54"/>
      <c r="I36" s="54"/>
      <c r="J36" s="55"/>
      <c r="K36" s="55"/>
      <c r="L36" s="55"/>
      <c r="M36" s="54"/>
      <c r="N36" s="54"/>
      <c r="O36" s="54"/>
      <c r="P36" s="8"/>
      <c r="Q36" s="53"/>
      <c r="R36" s="54"/>
      <c r="S36" s="53"/>
      <c r="T36" s="53"/>
      <c r="U36" s="54"/>
      <c r="V36" s="54"/>
      <c r="W36" s="54">
        <f>SUM(O34:O36)-SUM(U34:U36)</f>
        <v>-980000</v>
      </c>
    </row>
    <row r="37" spans="1:65" s="16" customFormat="1" ht="20.100000000000001" customHeight="1" x14ac:dyDescent="0.25">
      <c r="A37" s="14">
        <v>65666</v>
      </c>
      <c r="B37" s="50"/>
      <c r="C37" s="50"/>
      <c r="D37" s="50"/>
      <c r="E37" s="50"/>
      <c r="F37" s="50"/>
      <c r="G37" s="50"/>
      <c r="H37" s="50"/>
      <c r="I37" s="50"/>
      <c r="J37" s="51"/>
      <c r="K37" s="51"/>
      <c r="L37" s="51"/>
      <c r="M37" s="50"/>
      <c r="N37" s="50"/>
      <c r="O37" s="50"/>
      <c r="P37" s="6">
        <v>65666</v>
      </c>
      <c r="Q37" s="52"/>
      <c r="R37" s="50"/>
      <c r="S37" s="52"/>
      <c r="T37" s="52"/>
      <c r="V37" s="50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</row>
    <row r="38" spans="1:65" ht="20.100000000000001" customHeight="1" x14ac:dyDescent="0.25">
      <c r="A38" s="17"/>
      <c r="B38" s="54" t="s">
        <v>216</v>
      </c>
      <c r="C38" s="56">
        <v>45560</v>
      </c>
      <c r="D38" s="54">
        <v>108</v>
      </c>
      <c r="E38" s="54">
        <v>2677500</v>
      </c>
      <c r="F38" s="54">
        <v>0</v>
      </c>
      <c r="G38" s="54">
        <f>E38-F38</f>
        <v>2677500</v>
      </c>
      <c r="H38" s="54">
        <f>ROUND(G38*18%,0)</f>
        <v>481950</v>
      </c>
      <c r="I38" s="54">
        <f>G38+H38</f>
        <v>3159450</v>
      </c>
      <c r="J38" s="54">
        <f>ROUND(G38*$J$12,0)</f>
        <v>53550</v>
      </c>
      <c r="K38" s="54">
        <f>G38*5%</f>
        <v>133875</v>
      </c>
      <c r="L38" s="54">
        <v>0</v>
      </c>
      <c r="M38" s="54">
        <f>H38</f>
        <v>481950</v>
      </c>
      <c r="N38" s="54">
        <v>378000</v>
      </c>
      <c r="O38" s="54">
        <f>ROUND(I38-SUM(J38:N38),)</f>
        <v>2112075</v>
      </c>
      <c r="P38" s="8"/>
      <c r="Q38" s="53">
        <v>3150000</v>
      </c>
      <c r="R38" s="54">
        <v>1000000</v>
      </c>
      <c r="S38" s="53">
        <f>R38*2%</f>
        <v>20000</v>
      </c>
      <c r="T38" s="53">
        <f>Q39-SUM(R38:R40)</f>
        <v>232500.00000000023</v>
      </c>
      <c r="U38" s="54">
        <v>980000</v>
      </c>
      <c r="V38" s="54" t="s">
        <v>231</v>
      </c>
      <c r="W38" s="54"/>
    </row>
    <row r="39" spans="1:65" ht="20.100000000000001" customHeight="1" x14ac:dyDescent="0.25">
      <c r="A39" s="17"/>
      <c r="B39" s="54"/>
      <c r="C39" s="54"/>
      <c r="D39" s="54">
        <v>108</v>
      </c>
      <c r="E39" s="54">
        <f>M38</f>
        <v>481950</v>
      </c>
      <c r="F39" s="54"/>
      <c r="G39" s="54"/>
      <c r="H39" s="54"/>
      <c r="I39" s="54"/>
      <c r="J39" s="55"/>
      <c r="K39" s="55"/>
      <c r="L39" s="55"/>
      <c r="M39" s="54"/>
      <c r="N39" s="54"/>
      <c r="O39" s="54">
        <f>E39</f>
        <v>481950</v>
      </c>
      <c r="P39" s="8"/>
      <c r="Q39" s="53">
        <f>Q38*55%</f>
        <v>1732500.0000000002</v>
      </c>
      <c r="R39" s="54">
        <v>500000</v>
      </c>
      <c r="S39" s="53"/>
      <c r="T39" s="53"/>
      <c r="U39" s="54">
        <v>500000</v>
      </c>
      <c r="V39" s="54" t="s">
        <v>312</v>
      </c>
      <c r="W39" s="54"/>
    </row>
    <row r="40" spans="1:65" ht="20.100000000000001" customHeight="1" x14ac:dyDescent="0.25">
      <c r="A40" s="17"/>
      <c r="B40" s="54"/>
      <c r="C40" s="54"/>
      <c r="D40" s="54"/>
      <c r="E40" s="54"/>
      <c r="F40" s="54"/>
      <c r="G40" s="54"/>
      <c r="H40" s="54"/>
      <c r="I40" s="54"/>
      <c r="J40" s="55"/>
      <c r="K40" s="55"/>
      <c r="L40" s="55"/>
      <c r="M40" s="54"/>
      <c r="N40" s="54"/>
      <c r="O40" s="54"/>
      <c r="P40" s="8"/>
      <c r="Q40" s="53"/>
      <c r="R40" s="54"/>
      <c r="S40" s="53"/>
      <c r="T40" s="53"/>
      <c r="U40" s="54"/>
      <c r="V40" s="54"/>
      <c r="W40" s="54">
        <f>SUM(O38:O40)-SUM(U38:U40)</f>
        <v>1114025</v>
      </c>
    </row>
    <row r="41" spans="1:65" s="16" customFormat="1" ht="20.100000000000001" customHeight="1" x14ac:dyDescent="0.25">
      <c r="A41" s="14">
        <v>65389</v>
      </c>
      <c r="B41" s="50"/>
      <c r="C41" s="50"/>
      <c r="D41" s="50"/>
      <c r="E41" s="50"/>
      <c r="F41" s="50"/>
      <c r="G41" s="50"/>
      <c r="H41" s="50"/>
      <c r="I41" s="50"/>
      <c r="J41" s="51"/>
      <c r="K41" s="51"/>
      <c r="L41" s="51"/>
      <c r="M41" s="50"/>
      <c r="N41" s="50"/>
      <c r="O41" s="50"/>
      <c r="P41" s="6">
        <v>65389</v>
      </c>
      <c r="Q41" s="52"/>
      <c r="R41" s="50"/>
      <c r="S41" s="52"/>
      <c r="T41" s="52"/>
      <c r="V41" s="50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</row>
    <row r="42" spans="1:65" ht="20.100000000000001" customHeight="1" x14ac:dyDescent="0.25">
      <c r="A42" s="17"/>
      <c r="B42" s="54" t="s">
        <v>314</v>
      </c>
      <c r="C42" s="56">
        <v>45797</v>
      </c>
      <c r="D42" s="54">
        <v>3</v>
      </c>
      <c r="E42" s="54">
        <v>1467813</v>
      </c>
      <c r="F42" s="54">
        <v>0</v>
      </c>
      <c r="G42" s="54">
        <f>E42-F42</f>
        <v>1467813</v>
      </c>
      <c r="H42" s="54">
        <f>ROUND(G42*18%,0)</f>
        <v>264206</v>
      </c>
      <c r="I42" s="54">
        <f>G42+H42</f>
        <v>1732019</v>
      </c>
      <c r="J42" s="54">
        <f>ROUND(G42*$J$12,0)</f>
        <v>29356</v>
      </c>
      <c r="K42" s="54">
        <f>G42*5%</f>
        <v>73390.650000000009</v>
      </c>
      <c r="L42" s="54">
        <v>0</v>
      </c>
      <c r="M42" s="54">
        <f>H42</f>
        <v>264206</v>
      </c>
      <c r="N42" s="54">
        <f>Q42*12%</f>
        <v>320250</v>
      </c>
      <c r="O42" s="54">
        <f>ROUND(I42-SUM(J42:N42),)</f>
        <v>1044816</v>
      </c>
      <c r="P42" s="8"/>
      <c r="Q42" s="53">
        <v>2668750</v>
      </c>
      <c r="R42" s="54">
        <v>1000000</v>
      </c>
      <c r="S42" s="53">
        <f>R42*2%</f>
        <v>20000</v>
      </c>
      <c r="T42" s="53">
        <f>Q43-SUM(R42:R44)</f>
        <v>-452125</v>
      </c>
      <c r="U42" s="54">
        <v>980000</v>
      </c>
      <c r="V42" s="54" t="s">
        <v>212</v>
      </c>
      <c r="W42" s="54"/>
    </row>
    <row r="43" spans="1:65" ht="20.100000000000001" customHeight="1" x14ac:dyDescent="0.25">
      <c r="A43" s="17"/>
      <c r="B43" s="72" t="s">
        <v>244</v>
      </c>
      <c r="C43" s="54"/>
      <c r="D43" s="54">
        <v>3</v>
      </c>
      <c r="E43" s="54">
        <f>M42</f>
        <v>264206</v>
      </c>
      <c r="F43" s="54"/>
      <c r="G43" s="54"/>
      <c r="H43" s="54"/>
      <c r="I43" s="54"/>
      <c r="J43" s="55"/>
      <c r="K43" s="55"/>
      <c r="L43" s="55"/>
      <c r="M43" s="54"/>
      <c r="N43" s="54"/>
      <c r="O43" s="54">
        <f>E43</f>
        <v>264206</v>
      </c>
      <c r="P43" s="8"/>
      <c r="Q43" s="53">
        <f>Q42*58%</f>
        <v>1547875</v>
      </c>
      <c r="R43" s="54">
        <v>1000000</v>
      </c>
      <c r="S43" s="53">
        <f>R43*2%</f>
        <v>20000</v>
      </c>
      <c r="T43" s="53"/>
      <c r="U43" s="54">
        <v>980000</v>
      </c>
      <c r="V43" s="54" t="s">
        <v>234</v>
      </c>
      <c r="W43" s="54"/>
    </row>
    <row r="44" spans="1:65" ht="20.100000000000001" customHeight="1" x14ac:dyDescent="0.25">
      <c r="A44" s="17"/>
      <c r="B44" s="54"/>
      <c r="C44" s="54"/>
      <c r="D44" s="54"/>
      <c r="E44" s="54"/>
      <c r="F44" s="54"/>
      <c r="G44" s="54"/>
      <c r="H44" s="54"/>
      <c r="I44" s="54"/>
      <c r="J44" s="55"/>
      <c r="K44" s="55"/>
      <c r="L44" s="55"/>
      <c r="M44" s="54"/>
      <c r="N44" s="54"/>
      <c r="O44" s="54"/>
      <c r="P44" s="8"/>
      <c r="Q44" s="53"/>
      <c r="R44" s="54"/>
      <c r="S44" s="53"/>
      <c r="T44" s="53"/>
      <c r="U44" s="54"/>
      <c r="V44" s="54"/>
      <c r="W44" s="54">
        <f>SUM(O42:O44)-SUM(U42:U44)</f>
        <v>-650978</v>
      </c>
    </row>
    <row r="45" spans="1:65" s="16" customFormat="1" ht="20.100000000000001" customHeight="1" x14ac:dyDescent="0.25">
      <c r="A45" s="14">
        <v>65388</v>
      </c>
      <c r="C45" s="50"/>
      <c r="D45" s="50"/>
      <c r="E45" s="50"/>
      <c r="F45" s="50"/>
      <c r="G45" s="50"/>
      <c r="H45" s="50"/>
      <c r="I45" s="50"/>
      <c r="J45" s="51"/>
      <c r="K45" s="51"/>
      <c r="L45" s="51"/>
      <c r="M45" s="50"/>
      <c r="N45" s="50"/>
      <c r="O45" s="50"/>
      <c r="P45" s="6">
        <v>65388</v>
      </c>
      <c r="Q45" s="52"/>
      <c r="R45" s="50"/>
      <c r="S45" s="52"/>
      <c r="T45" s="52"/>
      <c r="V45" s="50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</row>
    <row r="46" spans="1:65" ht="20.100000000000001" customHeight="1" x14ac:dyDescent="0.25">
      <c r="A46" s="17"/>
      <c r="B46" s="54" t="s">
        <v>210</v>
      </c>
      <c r="C46" s="56">
        <v>45797</v>
      </c>
      <c r="D46" s="54">
        <v>1</v>
      </c>
      <c r="E46" s="54">
        <v>1622500</v>
      </c>
      <c r="F46" s="54">
        <v>0</v>
      </c>
      <c r="G46" s="54">
        <f>E46-F46</f>
        <v>1622500</v>
      </c>
      <c r="H46" s="54">
        <f>ROUND(G46*18%,0)</f>
        <v>292050</v>
      </c>
      <c r="I46" s="54">
        <f>G46+H46</f>
        <v>1914550</v>
      </c>
      <c r="J46" s="54">
        <f>ROUND(G46*$J$12,0)</f>
        <v>32450</v>
      </c>
      <c r="K46" s="54">
        <f>G46*5%</f>
        <v>81125</v>
      </c>
      <c r="L46" s="54">
        <v>0</v>
      </c>
      <c r="M46" s="54">
        <f>H46</f>
        <v>292050</v>
      </c>
      <c r="N46" s="54">
        <f>Q46*12%</f>
        <v>354000</v>
      </c>
      <c r="O46" s="54">
        <f>ROUND(I46-SUM(J46:N46),)</f>
        <v>1154925</v>
      </c>
      <c r="P46" s="8"/>
      <c r="Q46" s="53">
        <v>2950000</v>
      </c>
      <c r="R46" s="54">
        <v>1000000</v>
      </c>
      <c r="S46" s="53">
        <f>R46*2%</f>
        <v>20000</v>
      </c>
      <c r="T46" s="53">
        <f>Q47-SUM(R46:R48)</f>
        <v>122500.00000000023</v>
      </c>
      <c r="U46" s="54">
        <v>980000</v>
      </c>
      <c r="V46" s="54" t="s">
        <v>211</v>
      </c>
      <c r="W46" s="54"/>
    </row>
    <row r="47" spans="1:65" ht="20.100000000000001" customHeight="1" x14ac:dyDescent="0.25">
      <c r="A47" s="17"/>
      <c r="B47" s="72" t="s">
        <v>244</v>
      </c>
      <c r="C47" s="54"/>
      <c r="D47" s="54">
        <v>1</v>
      </c>
      <c r="E47" s="54">
        <f>M46</f>
        <v>292050</v>
      </c>
      <c r="F47" s="54"/>
      <c r="G47" s="54"/>
      <c r="H47" s="54"/>
      <c r="I47" s="54"/>
      <c r="J47" s="55"/>
      <c r="K47" s="55"/>
      <c r="L47" s="55"/>
      <c r="M47" s="54"/>
      <c r="N47" s="54"/>
      <c r="O47" s="54">
        <f>E47</f>
        <v>292050</v>
      </c>
      <c r="P47" s="8"/>
      <c r="Q47" s="53">
        <f>Q46*55%</f>
        <v>1622500.0000000002</v>
      </c>
      <c r="R47" s="54">
        <v>500000</v>
      </c>
      <c r="S47" s="53"/>
      <c r="T47" s="53"/>
      <c r="U47" s="54">
        <v>495000</v>
      </c>
      <c r="V47" s="54" t="s">
        <v>310</v>
      </c>
      <c r="W47" s="54"/>
    </row>
    <row r="48" spans="1:65" ht="20.100000000000001" customHeight="1" x14ac:dyDescent="0.25">
      <c r="A48" s="17"/>
      <c r="B48" s="54"/>
      <c r="C48" s="54"/>
      <c r="D48" s="54"/>
      <c r="E48" s="54"/>
      <c r="F48" s="54"/>
      <c r="G48" s="54"/>
      <c r="H48" s="54"/>
      <c r="I48" s="54"/>
      <c r="J48" s="55"/>
      <c r="K48" s="55"/>
      <c r="L48" s="55"/>
      <c r="M48" s="54"/>
      <c r="N48" s="54"/>
      <c r="O48" s="54"/>
      <c r="P48" s="8"/>
      <c r="Q48" s="53"/>
      <c r="R48" s="54"/>
      <c r="S48" s="53"/>
      <c r="T48" s="53"/>
      <c r="U48" s="54"/>
      <c r="V48" s="54"/>
      <c r="W48" s="54">
        <f>SUM(O46:O48)-SUM(U46:U48)</f>
        <v>-28025</v>
      </c>
    </row>
    <row r="49" spans="1:65" s="16" customFormat="1" ht="20.100000000000001" customHeight="1" x14ac:dyDescent="0.25">
      <c r="A49" s="14">
        <v>65387</v>
      </c>
      <c r="C49" s="50"/>
      <c r="D49" s="50"/>
      <c r="E49" s="50"/>
      <c r="F49" s="50"/>
      <c r="G49" s="50"/>
      <c r="H49" s="50"/>
      <c r="I49" s="50"/>
      <c r="J49" s="51"/>
      <c r="K49" s="51"/>
      <c r="L49" s="51"/>
      <c r="M49" s="50"/>
      <c r="N49" s="50"/>
      <c r="O49" s="50"/>
      <c r="P49" s="6">
        <v>65387</v>
      </c>
      <c r="Q49" s="52"/>
      <c r="R49" s="50"/>
      <c r="S49" s="52"/>
      <c r="T49" s="52"/>
      <c r="V49" s="50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</row>
    <row r="50" spans="1:65" ht="20.100000000000001" customHeight="1" x14ac:dyDescent="0.25">
      <c r="A50" s="17"/>
      <c r="B50" s="54" t="s">
        <v>208</v>
      </c>
      <c r="C50" s="54"/>
      <c r="D50" s="54"/>
      <c r="E50" s="54"/>
      <c r="F50" s="54"/>
      <c r="G50" s="54"/>
      <c r="H50" s="54"/>
      <c r="I50" s="54"/>
      <c r="J50" s="55"/>
      <c r="K50" s="55"/>
      <c r="L50" s="55"/>
      <c r="M50" s="54"/>
      <c r="N50" s="54"/>
      <c r="O50" s="54"/>
      <c r="P50" s="8"/>
      <c r="Q50" s="53">
        <v>2950000</v>
      </c>
      <c r="R50" s="54">
        <v>1000000</v>
      </c>
      <c r="S50" s="53">
        <f>R50*2%</f>
        <v>20000</v>
      </c>
      <c r="T50" s="53">
        <f>Q51-SUM(R50:R52)</f>
        <v>450000</v>
      </c>
      <c r="U50" s="54">
        <v>980000</v>
      </c>
      <c r="V50" s="54" t="s">
        <v>209</v>
      </c>
      <c r="W50" s="54"/>
    </row>
    <row r="51" spans="1:65" ht="20.100000000000001" customHeight="1" x14ac:dyDescent="0.25">
      <c r="A51" s="17"/>
      <c r="B51" s="54"/>
      <c r="C51" s="54"/>
      <c r="D51" s="54"/>
      <c r="E51" s="54"/>
      <c r="F51" s="54"/>
      <c r="G51" s="54"/>
      <c r="H51" s="54"/>
      <c r="I51" s="54"/>
      <c r="J51" s="55"/>
      <c r="K51" s="55"/>
      <c r="L51" s="55"/>
      <c r="M51" s="54"/>
      <c r="N51" s="54"/>
      <c r="O51" s="54"/>
      <c r="P51" s="8"/>
      <c r="Q51" s="53">
        <f>Q50*100%</f>
        <v>2950000</v>
      </c>
      <c r="R51" s="54">
        <v>500000</v>
      </c>
      <c r="S51" s="53"/>
      <c r="T51" s="53"/>
      <c r="U51" s="54">
        <v>495000</v>
      </c>
      <c r="V51" s="54" t="s">
        <v>311</v>
      </c>
      <c r="W51" s="54"/>
    </row>
    <row r="52" spans="1:65" ht="20.100000000000001" customHeight="1" x14ac:dyDescent="0.25">
      <c r="A52" s="17"/>
      <c r="B52" s="54"/>
      <c r="C52" s="54"/>
      <c r="D52" s="54"/>
      <c r="E52" s="54"/>
      <c r="F52" s="54"/>
      <c r="G52" s="54"/>
      <c r="H52" s="54"/>
      <c r="I52" s="54"/>
      <c r="J52" s="55"/>
      <c r="K52" s="55"/>
      <c r="L52" s="55"/>
      <c r="M52" s="54"/>
      <c r="N52" s="54"/>
      <c r="O52" s="54"/>
      <c r="P52" s="8"/>
      <c r="Q52" s="53"/>
      <c r="R52" s="54">
        <v>1000000</v>
      </c>
      <c r="S52" s="53"/>
      <c r="T52" s="53"/>
      <c r="U52" s="54">
        <v>980000</v>
      </c>
      <c r="V52" s="54" t="s">
        <v>313</v>
      </c>
      <c r="W52" s="54">
        <f>SUM(O50:O52)-SUM(U50:U52)</f>
        <v>-2455000</v>
      </c>
    </row>
    <row r="53" spans="1:65" s="16" customFormat="1" ht="20.100000000000001" customHeight="1" x14ac:dyDescent="0.25">
      <c r="A53" s="14">
        <v>65386</v>
      </c>
      <c r="C53" s="50"/>
      <c r="D53" s="50"/>
      <c r="E53" s="50"/>
      <c r="F53" s="50"/>
      <c r="G53" s="50"/>
      <c r="H53" s="50"/>
      <c r="I53" s="50"/>
      <c r="J53" s="51"/>
      <c r="K53" s="51"/>
      <c r="L53" s="51"/>
      <c r="M53" s="50"/>
      <c r="N53" s="50"/>
      <c r="O53" s="50"/>
      <c r="P53" s="6">
        <v>65386</v>
      </c>
      <c r="Q53" s="52"/>
      <c r="R53" s="50"/>
      <c r="S53" s="52"/>
      <c r="T53" s="52"/>
      <c r="V53" s="50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</row>
    <row r="54" spans="1:65" ht="20.100000000000001" customHeight="1" x14ac:dyDescent="0.25">
      <c r="A54" s="17"/>
      <c r="B54" s="54" t="s">
        <v>207</v>
      </c>
      <c r="C54" s="54"/>
      <c r="D54" s="54"/>
      <c r="E54" s="54"/>
      <c r="F54" s="54"/>
      <c r="G54" s="54"/>
      <c r="H54" s="54"/>
      <c r="I54" s="54"/>
      <c r="J54" s="55"/>
      <c r="K54" s="55"/>
      <c r="L54" s="55"/>
      <c r="M54" s="54"/>
      <c r="N54" s="54"/>
      <c r="O54" s="54"/>
      <c r="P54" s="8"/>
      <c r="Q54" s="53">
        <v>1706250</v>
      </c>
      <c r="R54" s="54">
        <v>1000000</v>
      </c>
      <c r="S54" s="53">
        <f>R54*2%</f>
        <v>20000</v>
      </c>
      <c r="T54" s="53">
        <f>Q55-SUM(R54:R56)</f>
        <v>706250</v>
      </c>
      <c r="U54" s="54">
        <v>980000</v>
      </c>
      <c r="V54" s="72" t="s">
        <v>287</v>
      </c>
      <c r="W54" s="54"/>
    </row>
    <row r="55" spans="1:65" ht="20.100000000000001" customHeight="1" x14ac:dyDescent="0.25">
      <c r="A55" s="17"/>
      <c r="B55" s="54"/>
      <c r="C55" s="54"/>
      <c r="D55" s="54"/>
      <c r="E55" s="54"/>
      <c r="F55" s="54"/>
      <c r="G55" s="54"/>
      <c r="H55" s="54"/>
      <c r="I55" s="54"/>
      <c r="J55" s="55"/>
      <c r="K55" s="55"/>
      <c r="L55" s="55"/>
      <c r="M55" s="54"/>
      <c r="N55" s="54"/>
      <c r="O55" s="54"/>
      <c r="P55" s="8"/>
      <c r="Q55" s="53">
        <f>Q54*100%</f>
        <v>1706250</v>
      </c>
      <c r="R55" s="54"/>
      <c r="S55" s="53"/>
      <c r="T55" s="53"/>
      <c r="U55" s="54"/>
      <c r="V55" s="54"/>
      <c r="W55" s="54"/>
    </row>
    <row r="56" spans="1:65" ht="20.100000000000001" customHeight="1" x14ac:dyDescent="0.25">
      <c r="A56" s="17"/>
      <c r="B56" s="54"/>
      <c r="C56" s="54"/>
      <c r="D56" s="54"/>
      <c r="E56" s="54"/>
      <c r="F56" s="54"/>
      <c r="G56" s="54"/>
      <c r="H56" s="54"/>
      <c r="I56" s="54"/>
      <c r="J56" s="55"/>
      <c r="K56" s="55"/>
      <c r="L56" s="55"/>
      <c r="M56" s="54"/>
      <c r="N56" s="54"/>
      <c r="O56" s="54"/>
      <c r="P56" s="8"/>
      <c r="Q56" s="53"/>
      <c r="R56" s="54"/>
      <c r="S56" s="53"/>
      <c r="T56" s="53"/>
      <c r="U56" s="54"/>
      <c r="V56" s="54"/>
      <c r="W56" s="54">
        <f>SUM(O54:O56)-SUM(U54:U56)</f>
        <v>-980000</v>
      </c>
    </row>
    <row r="57" spans="1:65" s="16" customFormat="1" ht="20.100000000000001" customHeight="1" x14ac:dyDescent="0.25">
      <c r="A57" s="14">
        <v>65385</v>
      </c>
      <c r="C57" s="50"/>
      <c r="D57" s="50"/>
      <c r="E57" s="50"/>
      <c r="F57" s="50"/>
      <c r="G57" s="50"/>
      <c r="H57" s="50"/>
      <c r="I57" s="50"/>
      <c r="J57" s="51"/>
      <c r="K57" s="51"/>
      <c r="L57" s="51"/>
      <c r="M57" s="50"/>
      <c r="N57" s="50"/>
      <c r="O57" s="50"/>
      <c r="P57" s="6">
        <v>65385</v>
      </c>
      <c r="Q57" s="52"/>
      <c r="R57" s="50"/>
      <c r="S57" s="52"/>
      <c r="T57" s="52"/>
      <c r="V57" s="50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</row>
    <row r="58" spans="1:65" ht="20.100000000000001" customHeight="1" x14ac:dyDescent="0.25">
      <c r="A58" s="17"/>
      <c r="B58" s="54" t="s">
        <v>206</v>
      </c>
      <c r="C58" s="54"/>
      <c r="D58" s="54"/>
      <c r="E58" s="54"/>
      <c r="F58" s="54"/>
      <c r="G58" s="54"/>
      <c r="H58" s="54"/>
      <c r="I58" s="54"/>
      <c r="J58" s="55"/>
      <c r="K58" s="55"/>
      <c r="L58" s="55"/>
      <c r="M58" s="54"/>
      <c r="N58" s="54"/>
      <c r="O58" s="54"/>
      <c r="P58" s="8"/>
      <c r="Q58" s="53">
        <v>1960000</v>
      </c>
      <c r="R58" s="54">
        <v>1500000</v>
      </c>
      <c r="S58" s="53">
        <f>R58*2%</f>
        <v>30000</v>
      </c>
      <c r="T58" s="53">
        <f>Q59-SUM(R58:R60)</f>
        <v>460000</v>
      </c>
      <c r="U58" s="54">
        <f>R58-S58</f>
        <v>1470000</v>
      </c>
      <c r="V58" s="54" t="s">
        <v>232</v>
      </c>
      <c r="W58" s="54"/>
    </row>
    <row r="59" spans="1:65" ht="20.100000000000001" customHeight="1" x14ac:dyDescent="0.25">
      <c r="A59" s="17"/>
      <c r="B59" s="54"/>
      <c r="C59" s="54"/>
      <c r="D59" s="54"/>
      <c r="E59" s="54"/>
      <c r="F59" s="54"/>
      <c r="G59" s="54"/>
      <c r="H59" s="54"/>
      <c r="I59" s="54"/>
      <c r="J59" s="55"/>
      <c r="K59" s="55"/>
      <c r="L59" s="55"/>
      <c r="M59" s="54"/>
      <c r="N59" s="54"/>
      <c r="O59" s="54"/>
      <c r="P59" s="8"/>
      <c r="Q59" s="53">
        <f>Q58*100%</f>
        <v>1960000</v>
      </c>
      <c r="R59" s="54"/>
      <c r="S59" s="53"/>
      <c r="T59" s="53"/>
      <c r="U59" s="54"/>
      <c r="V59" s="54"/>
      <c r="W59" s="54"/>
    </row>
    <row r="60" spans="1:65" ht="20.100000000000001" customHeight="1" x14ac:dyDescent="0.25">
      <c r="A60" s="17"/>
      <c r="B60" s="54"/>
      <c r="C60" s="54"/>
      <c r="D60" s="54"/>
      <c r="E60" s="54"/>
      <c r="F60" s="54"/>
      <c r="G60" s="54"/>
      <c r="H60" s="54"/>
      <c r="I60" s="54"/>
      <c r="J60" s="55"/>
      <c r="K60" s="55"/>
      <c r="L60" s="55"/>
      <c r="M60" s="54"/>
      <c r="N60" s="54"/>
      <c r="O60" s="54"/>
      <c r="P60" s="8"/>
      <c r="Q60" s="53"/>
      <c r="R60" s="54"/>
      <c r="S60" s="53"/>
      <c r="T60" s="53"/>
      <c r="U60" s="54"/>
      <c r="V60" s="54"/>
      <c r="W60" s="54">
        <f>SUM(O58:O60)-SUM(U58:U60)</f>
        <v>-1470000</v>
      </c>
    </row>
    <row r="61" spans="1:65" s="16" customFormat="1" ht="20.100000000000001" customHeight="1" x14ac:dyDescent="0.25">
      <c r="A61" s="14">
        <v>65384</v>
      </c>
      <c r="C61" s="50"/>
      <c r="D61" s="50"/>
      <c r="E61" s="50"/>
      <c r="F61" s="50"/>
      <c r="G61" s="50"/>
      <c r="H61" s="50"/>
      <c r="I61" s="50"/>
      <c r="J61" s="51"/>
      <c r="K61" s="51"/>
      <c r="L61" s="51"/>
      <c r="M61" s="50"/>
      <c r="N61" s="50"/>
      <c r="O61" s="50"/>
      <c r="P61" s="6">
        <v>65384</v>
      </c>
      <c r="Q61" s="52"/>
      <c r="R61" s="50"/>
      <c r="S61" s="52"/>
      <c r="T61" s="52"/>
      <c r="V61" s="50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</row>
    <row r="62" spans="1:65" ht="20.100000000000001" customHeight="1" x14ac:dyDescent="0.25">
      <c r="A62" s="17"/>
      <c r="B62" s="54" t="s">
        <v>205</v>
      </c>
      <c r="C62" s="54"/>
      <c r="D62" s="54"/>
      <c r="E62" s="54"/>
      <c r="F62" s="54"/>
      <c r="G62" s="54"/>
      <c r="H62" s="54"/>
      <c r="I62" s="54"/>
      <c r="J62" s="55"/>
      <c r="K62" s="55"/>
      <c r="L62" s="55"/>
      <c r="M62" s="54"/>
      <c r="N62" s="54"/>
      <c r="O62" s="54"/>
      <c r="P62" s="8"/>
      <c r="Q62" s="53">
        <v>3780000</v>
      </c>
      <c r="R62" s="54">
        <v>1500000</v>
      </c>
      <c r="S62" s="53">
        <f>R62*2%</f>
        <v>30000</v>
      </c>
      <c r="T62" s="53">
        <f>Q63-SUM(R62:R64)</f>
        <v>2280000</v>
      </c>
      <c r="U62" s="54">
        <f>R62-S62</f>
        <v>1470000</v>
      </c>
      <c r="V62" s="54" t="s">
        <v>233</v>
      </c>
      <c r="W62" s="54"/>
    </row>
    <row r="63" spans="1:65" ht="20.100000000000001" customHeight="1" x14ac:dyDescent="0.25">
      <c r="A63" s="17"/>
      <c r="B63" s="54"/>
      <c r="C63" s="54"/>
      <c r="D63" s="54"/>
      <c r="E63" s="54"/>
      <c r="F63" s="54"/>
      <c r="G63" s="54"/>
      <c r="H63" s="54"/>
      <c r="I63" s="54"/>
      <c r="J63" s="55"/>
      <c r="K63" s="55"/>
      <c r="L63" s="55"/>
      <c r="M63" s="54"/>
      <c r="N63" s="54"/>
      <c r="O63" s="54"/>
      <c r="P63" s="8"/>
      <c r="Q63" s="53">
        <f>Q62*100%</f>
        <v>3780000</v>
      </c>
      <c r="R63" s="54"/>
      <c r="S63" s="53"/>
      <c r="T63" s="53"/>
      <c r="U63" s="54"/>
      <c r="V63" s="54"/>
      <c r="W63" s="54"/>
    </row>
    <row r="64" spans="1:65" ht="20.100000000000001" customHeight="1" x14ac:dyDescent="0.25">
      <c r="A64" s="17"/>
      <c r="B64" s="54"/>
      <c r="C64" s="54"/>
      <c r="D64" s="54"/>
      <c r="E64" s="54"/>
      <c r="F64" s="54"/>
      <c r="G64" s="54"/>
      <c r="H64" s="54"/>
      <c r="I64" s="54"/>
      <c r="J64" s="55"/>
      <c r="K64" s="55"/>
      <c r="L64" s="55"/>
      <c r="M64" s="54"/>
      <c r="N64" s="54"/>
      <c r="O64" s="54"/>
      <c r="P64" s="8"/>
      <c r="Q64" s="53"/>
      <c r="R64" s="54"/>
      <c r="S64" s="53"/>
      <c r="T64" s="53"/>
      <c r="U64" s="54"/>
      <c r="V64" s="54"/>
      <c r="W64" s="54">
        <f>SUM(O62:O64)-SUM(U62:U64)</f>
        <v>-1470000</v>
      </c>
    </row>
    <row r="65" spans="1:65" s="16" customFormat="1" ht="20.100000000000001" customHeight="1" x14ac:dyDescent="0.25">
      <c r="A65" s="14">
        <v>64749</v>
      </c>
      <c r="C65" s="50"/>
      <c r="D65" s="50"/>
      <c r="E65" s="50"/>
      <c r="F65" s="50"/>
      <c r="G65" s="50"/>
      <c r="H65" s="50"/>
      <c r="I65" s="50"/>
      <c r="J65" s="51"/>
      <c r="K65" s="51"/>
      <c r="L65" s="51"/>
      <c r="M65" s="50"/>
      <c r="N65" s="50"/>
      <c r="O65" s="50"/>
      <c r="P65" s="6">
        <v>64749</v>
      </c>
      <c r="Q65" s="52"/>
      <c r="R65" s="50"/>
      <c r="S65" s="52"/>
      <c r="T65" s="52"/>
      <c r="V65" s="50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</row>
    <row r="66" spans="1:65" ht="20.100000000000001" customHeight="1" x14ac:dyDescent="0.25">
      <c r="A66" s="17"/>
      <c r="B66" s="54" t="s">
        <v>204</v>
      </c>
      <c r="C66" s="54"/>
      <c r="D66" s="54"/>
      <c r="E66" s="54"/>
      <c r="F66" s="54"/>
      <c r="G66" s="54"/>
      <c r="H66" s="54"/>
      <c r="I66" s="54"/>
      <c r="J66" s="55"/>
      <c r="K66" s="55"/>
      <c r="L66" s="55"/>
      <c r="M66" s="54"/>
      <c r="N66" s="54"/>
      <c r="O66" s="54"/>
      <c r="P66" s="8"/>
      <c r="Q66" s="53">
        <v>1706250</v>
      </c>
      <c r="R66" s="54">
        <v>1000000</v>
      </c>
      <c r="S66" s="53">
        <f>R66*2%</f>
        <v>20000</v>
      </c>
      <c r="T66" s="53">
        <f>Q67-SUM(R66:R68)</f>
        <v>706250</v>
      </c>
      <c r="U66" s="54">
        <v>980000</v>
      </c>
      <c r="V66" s="54" t="s">
        <v>203</v>
      </c>
      <c r="W66" s="54"/>
    </row>
    <row r="67" spans="1:65" ht="20.100000000000001" customHeight="1" x14ac:dyDescent="0.25">
      <c r="A67" s="17"/>
      <c r="B67" s="54"/>
      <c r="C67" s="54"/>
      <c r="D67" s="54"/>
      <c r="E67" s="54"/>
      <c r="F67" s="54"/>
      <c r="G67" s="54"/>
      <c r="H67" s="54"/>
      <c r="I67" s="54"/>
      <c r="J67" s="55"/>
      <c r="K67" s="55"/>
      <c r="L67" s="55"/>
      <c r="M67" s="54"/>
      <c r="N67" s="54"/>
      <c r="O67" s="54"/>
      <c r="P67" s="8"/>
      <c r="Q67" s="53">
        <f>Q66*100%</f>
        <v>1706250</v>
      </c>
      <c r="R67" s="54"/>
      <c r="S67" s="53"/>
      <c r="T67" s="53"/>
      <c r="U67" s="54"/>
      <c r="V67" s="54"/>
      <c r="W67" s="54"/>
    </row>
    <row r="68" spans="1:65" ht="20.100000000000001" customHeight="1" x14ac:dyDescent="0.25">
      <c r="A68" s="17"/>
      <c r="B68" s="54"/>
      <c r="C68" s="54"/>
      <c r="D68" s="54"/>
      <c r="E68" s="54"/>
      <c r="F68" s="54"/>
      <c r="G68" s="54"/>
      <c r="H68" s="54"/>
      <c r="I68" s="54"/>
      <c r="J68" s="55"/>
      <c r="K68" s="55"/>
      <c r="L68" s="55"/>
      <c r="M68" s="54"/>
      <c r="N68" s="54"/>
      <c r="O68" s="54"/>
      <c r="P68" s="8"/>
      <c r="Q68" s="53"/>
      <c r="R68" s="54"/>
      <c r="S68" s="53"/>
      <c r="T68" s="53"/>
      <c r="U68" s="54"/>
      <c r="V68" s="54"/>
      <c r="W68" s="54">
        <f>SUM(O66:O68)-SUM(U66:U68)</f>
        <v>-980000</v>
      </c>
    </row>
    <row r="69" spans="1:65" s="16" customFormat="1" ht="20.100000000000001" customHeight="1" x14ac:dyDescent="0.25">
      <c r="A69" s="14">
        <v>64748</v>
      </c>
      <c r="C69" s="50"/>
      <c r="D69" s="50"/>
      <c r="E69" s="50"/>
      <c r="F69" s="50"/>
      <c r="G69" s="50"/>
      <c r="H69" s="50"/>
      <c r="I69" s="50"/>
      <c r="J69" s="51"/>
      <c r="K69" s="51"/>
      <c r="L69" s="51"/>
      <c r="M69" s="50"/>
      <c r="N69" s="50"/>
      <c r="O69" s="50"/>
      <c r="P69" s="6">
        <v>64748</v>
      </c>
      <c r="Q69" s="52"/>
      <c r="R69" s="50"/>
      <c r="S69" s="52"/>
      <c r="T69" s="52"/>
      <c r="V69" s="50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</row>
    <row r="70" spans="1:65" ht="20.100000000000001" customHeight="1" x14ac:dyDescent="0.25">
      <c r="A70" s="17"/>
      <c r="B70" s="54" t="s">
        <v>201</v>
      </c>
      <c r="C70" s="54"/>
      <c r="D70" s="54"/>
      <c r="E70" s="54"/>
      <c r="F70" s="54"/>
      <c r="G70" s="54"/>
      <c r="H70" s="54"/>
      <c r="I70" s="54"/>
      <c r="J70" s="55"/>
      <c r="K70" s="55"/>
      <c r="L70" s="55"/>
      <c r="M70" s="54"/>
      <c r="N70" s="54"/>
      <c r="O70" s="54"/>
      <c r="P70" s="8"/>
      <c r="Q70" s="53">
        <v>1706250</v>
      </c>
      <c r="R70" s="54">
        <v>1000000</v>
      </c>
      <c r="S70" s="53">
        <f>R70*2%</f>
        <v>20000</v>
      </c>
      <c r="T70" s="53">
        <f>Q71-SUM(R70:R72)</f>
        <v>206250</v>
      </c>
      <c r="U70" s="54">
        <v>980000</v>
      </c>
      <c r="V70" s="54" t="s">
        <v>202</v>
      </c>
      <c r="W70" s="54"/>
    </row>
    <row r="71" spans="1:65" ht="20.100000000000001" customHeight="1" x14ac:dyDescent="0.25">
      <c r="A71" s="17"/>
      <c r="B71" s="54"/>
      <c r="C71" s="54"/>
      <c r="D71" s="54"/>
      <c r="E71" s="54"/>
      <c r="F71" s="54"/>
      <c r="G71" s="54"/>
      <c r="H71" s="54"/>
      <c r="I71" s="54"/>
      <c r="J71" s="55"/>
      <c r="K71" s="55"/>
      <c r="L71" s="55"/>
      <c r="M71" s="54"/>
      <c r="N71" s="54"/>
      <c r="O71" s="54"/>
      <c r="P71" s="8"/>
      <c r="Q71" s="53">
        <f>Q70*100%</f>
        <v>1706250</v>
      </c>
      <c r="R71" s="54">
        <v>500000</v>
      </c>
      <c r="S71" s="53">
        <f>R71*2%</f>
        <v>10000</v>
      </c>
      <c r="T71" s="53"/>
      <c r="U71" s="54">
        <v>490000</v>
      </c>
      <c r="V71" s="54" t="s">
        <v>237</v>
      </c>
      <c r="W71" s="54"/>
    </row>
    <row r="72" spans="1:65" ht="20.100000000000001" customHeight="1" x14ac:dyDescent="0.25">
      <c r="A72" s="17"/>
      <c r="B72" s="54"/>
      <c r="C72" s="54"/>
      <c r="D72" s="54"/>
      <c r="E72" s="54"/>
      <c r="F72" s="54"/>
      <c r="G72" s="54"/>
      <c r="H72" s="54"/>
      <c r="I72" s="54"/>
      <c r="J72" s="55"/>
      <c r="K72" s="55"/>
      <c r="L72" s="55"/>
      <c r="M72" s="54"/>
      <c r="N72" s="54"/>
      <c r="O72" s="54"/>
      <c r="P72" s="8"/>
      <c r="Q72" s="53"/>
      <c r="R72" s="54"/>
      <c r="S72" s="53"/>
      <c r="T72" s="53"/>
      <c r="U72" s="54"/>
      <c r="V72" s="54"/>
      <c r="W72" s="54">
        <f>SUM(O70:O72)-SUM(U70:U72)</f>
        <v>-1470000</v>
      </c>
    </row>
    <row r="73" spans="1:65" s="16" customFormat="1" ht="20.100000000000001" customHeight="1" x14ac:dyDescent="0.25">
      <c r="A73" s="14">
        <v>64747</v>
      </c>
      <c r="C73" s="50"/>
      <c r="D73" s="50"/>
      <c r="E73" s="50"/>
      <c r="F73" s="50"/>
      <c r="G73" s="50"/>
      <c r="H73" s="50"/>
      <c r="I73" s="50"/>
      <c r="J73" s="51"/>
      <c r="K73" s="51"/>
      <c r="L73" s="51"/>
      <c r="M73" s="50"/>
      <c r="N73" s="50"/>
      <c r="O73" s="50"/>
      <c r="P73" s="6">
        <v>64747</v>
      </c>
      <c r="Q73" s="52"/>
      <c r="R73" s="50"/>
      <c r="S73" s="52"/>
      <c r="T73" s="52"/>
      <c r="V73" s="50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</row>
    <row r="74" spans="1:65" ht="20.100000000000001" customHeight="1" x14ac:dyDescent="0.25">
      <c r="A74" s="17"/>
      <c r="B74" s="54" t="s">
        <v>199</v>
      </c>
      <c r="C74" s="54"/>
      <c r="D74" s="54"/>
      <c r="E74" s="54"/>
      <c r="F74" s="54"/>
      <c r="G74" s="54"/>
      <c r="H74" s="54"/>
      <c r="I74" s="54"/>
      <c r="J74" s="55"/>
      <c r="K74" s="55"/>
      <c r="L74" s="55"/>
      <c r="M74" s="54"/>
      <c r="N74" s="54"/>
      <c r="O74" s="54"/>
      <c r="P74" s="8"/>
      <c r="Q74" s="53">
        <v>1365000</v>
      </c>
      <c r="R74" s="54">
        <v>1000000</v>
      </c>
      <c r="S74" s="53">
        <f>R74*2%</f>
        <v>20000</v>
      </c>
      <c r="T74" s="53">
        <f>Q75-SUM(R74:R76)</f>
        <v>365000</v>
      </c>
      <c r="U74" s="54">
        <v>980000</v>
      </c>
      <c r="V74" s="54" t="s">
        <v>200</v>
      </c>
      <c r="W74" s="54"/>
    </row>
    <row r="75" spans="1:65" ht="20.100000000000001" customHeight="1" x14ac:dyDescent="0.25">
      <c r="A75" s="17"/>
      <c r="B75" s="54"/>
      <c r="C75" s="54"/>
      <c r="D75" s="54"/>
      <c r="E75" s="54"/>
      <c r="F75" s="54"/>
      <c r="G75" s="54"/>
      <c r="H75" s="54"/>
      <c r="I75" s="54"/>
      <c r="J75" s="55"/>
      <c r="K75" s="55"/>
      <c r="L75" s="55"/>
      <c r="M75" s="54"/>
      <c r="N75" s="54"/>
      <c r="O75" s="54"/>
      <c r="P75" s="8"/>
      <c r="Q75" s="53">
        <f>Q74*100%</f>
        <v>1365000</v>
      </c>
      <c r="R75" s="54"/>
      <c r="S75" s="53"/>
      <c r="T75" s="53"/>
      <c r="U75" s="54"/>
      <c r="V75" s="54"/>
      <c r="W75" s="54"/>
    </row>
    <row r="76" spans="1:65" ht="20.100000000000001" customHeight="1" x14ac:dyDescent="0.25">
      <c r="A76" s="17"/>
      <c r="B76" s="54"/>
      <c r="C76" s="54"/>
      <c r="D76" s="54"/>
      <c r="E76" s="54"/>
      <c r="F76" s="54"/>
      <c r="G76" s="54"/>
      <c r="H76" s="54"/>
      <c r="I76" s="54"/>
      <c r="J76" s="55"/>
      <c r="K76" s="55"/>
      <c r="L76" s="55"/>
      <c r="M76" s="54"/>
      <c r="N76" s="54"/>
      <c r="O76" s="54"/>
      <c r="P76" s="8"/>
      <c r="Q76" s="53"/>
      <c r="R76" s="54"/>
      <c r="S76" s="53"/>
      <c r="T76" s="53"/>
      <c r="U76" s="54"/>
      <c r="V76" s="54"/>
      <c r="W76" s="54">
        <f>SUM(O74:O76)-SUM(U74:U76)</f>
        <v>-980000</v>
      </c>
    </row>
    <row r="77" spans="1:65" s="16" customFormat="1" ht="20.100000000000001" customHeight="1" x14ac:dyDescent="0.25">
      <c r="A77" s="14">
        <v>64746</v>
      </c>
      <c r="C77" s="50"/>
      <c r="D77" s="50"/>
      <c r="E77" s="50"/>
      <c r="F77" s="50"/>
      <c r="G77" s="50"/>
      <c r="H77" s="50"/>
      <c r="I77" s="50"/>
      <c r="J77" s="51"/>
      <c r="K77" s="51"/>
      <c r="L77" s="51"/>
      <c r="M77" s="50"/>
      <c r="N77" s="50"/>
      <c r="O77" s="50"/>
      <c r="P77" s="6">
        <v>64746</v>
      </c>
      <c r="Q77" s="52"/>
      <c r="R77" s="50"/>
      <c r="S77" s="52"/>
      <c r="T77" s="52"/>
      <c r="V77" s="50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</row>
    <row r="78" spans="1:65" ht="20.100000000000001" customHeight="1" x14ac:dyDescent="0.25">
      <c r="A78" s="17"/>
      <c r="B78" s="73" t="s">
        <v>277</v>
      </c>
      <c r="C78" s="56">
        <v>45747</v>
      </c>
      <c r="D78" s="54">
        <v>155</v>
      </c>
      <c r="E78" s="54">
        <v>1706250</v>
      </c>
      <c r="F78" s="54">
        <v>0</v>
      </c>
      <c r="G78" s="54">
        <f>E78-F78</f>
        <v>1706250</v>
      </c>
      <c r="H78" s="54">
        <f>ROUND(G78*18%,0)</f>
        <v>307125</v>
      </c>
      <c r="I78" s="54">
        <f>G78+H78</f>
        <v>2013375</v>
      </c>
      <c r="J78" s="54">
        <f>ROUND(G78*$J$12,0)</f>
        <v>34125</v>
      </c>
      <c r="K78" s="54">
        <f>G78*5%</f>
        <v>85312.5</v>
      </c>
      <c r="L78" s="54">
        <v>0</v>
      </c>
      <c r="M78" s="54">
        <f>H78</f>
        <v>307125</v>
      </c>
      <c r="N78" s="54">
        <f>Q78*12%</f>
        <v>204750</v>
      </c>
      <c r="O78" s="54">
        <f>ROUND(I78-SUM(J78:N78),)</f>
        <v>1382063</v>
      </c>
      <c r="P78" s="8"/>
      <c r="Q78" s="53">
        <v>1706250</v>
      </c>
      <c r="R78" s="54">
        <v>1000000</v>
      </c>
      <c r="S78" s="53">
        <f>R78*2%</f>
        <v>20000</v>
      </c>
      <c r="T78" s="53">
        <f>Q79-SUM(R78:R80)</f>
        <v>206250</v>
      </c>
      <c r="U78" s="54">
        <v>980000</v>
      </c>
      <c r="V78" s="54" t="s">
        <v>198</v>
      </c>
      <c r="W78" s="54"/>
    </row>
    <row r="79" spans="1:65" ht="20.100000000000001" customHeight="1" x14ac:dyDescent="0.25">
      <c r="A79" s="17"/>
      <c r="B79" s="72" t="s">
        <v>244</v>
      </c>
      <c r="C79" s="54"/>
      <c r="D79" s="54">
        <v>155</v>
      </c>
      <c r="E79" s="54">
        <f>M78</f>
        <v>307125</v>
      </c>
      <c r="F79" s="54"/>
      <c r="G79" s="54"/>
      <c r="H79" s="54"/>
      <c r="I79" s="54"/>
      <c r="J79" s="55"/>
      <c r="K79" s="55"/>
      <c r="L79" s="55"/>
      <c r="M79" s="54"/>
      <c r="N79" s="54"/>
      <c r="O79" s="54">
        <f>E79</f>
        <v>307125</v>
      </c>
      <c r="P79" s="8"/>
      <c r="Q79" s="53">
        <f>Q78*100%</f>
        <v>1706250</v>
      </c>
      <c r="R79" s="54">
        <v>500000</v>
      </c>
      <c r="S79" s="53">
        <f>R79*2%</f>
        <v>10000</v>
      </c>
      <c r="T79" s="53"/>
      <c r="U79" s="54">
        <v>490000</v>
      </c>
      <c r="V79" s="54" t="s">
        <v>236</v>
      </c>
      <c r="W79" s="54"/>
    </row>
    <row r="80" spans="1:65" ht="20.100000000000001" customHeight="1" x14ac:dyDescent="0.25">
      <c r="A80" s="17"/>
      <c r="B80" s="54"/>
      <c r="C80" s="54"/>
      <c r="D80" s="54"/>
      <c r="E80" s="54"/>
      <c r="F80" s="54"/>
      <c r="G80" s="54"/>
      <c r="H80" s="54"/>
      <c r="I80" s="54"/>
      <c r="J80" s="55"/>
      <c r="K80" s="55"/>
      <c r="L80" s="55"/>
      <c r="M80" s="54"/>
      <c r="N80" s="54"/>
      <c r="O80" s="54"/>
      <c r="P80" s="8"/>
      <c r="Q80" s="53"/>
      <c r="R80" s="54"/>
      <c r="S80" s="53"/>
      <c r="T80" s="53"/>
      <c r="U80" s="54"/>
      <c r="V80" s="54"/>
      <c r="W80" s="54">
        <f>SUM(O78:O80)-SUM(U78:U80)</f>
        <v>219188</v>
      </c>
    </row>
    <row r="81" spans="1:65" s="16" customFormat="1" ht="20.100000000000001" customHeight="1" x14ac:dyDescent="0.25">
      <c r="A81" s="14">
        <v>64745</v>
      </c>
      <c r="C81" s="50"/>
      <c r="D81" s="50"/>
      <c r="E81" s="50"/>
      <c r="F81" s="50"/>
      <c r="G81" s="50"/>
      <c r="H81" s="50"/>
      <c r="I81" s="50"/>
      <c r="J81" s="51"/>
      <c r="K81" s="51"/>
      <c r="L81" s="51"/>
      <c r="M81" s="50"/>
      <c r="N81" s="50"/>
      <c r="O81" s="50"/>
      <c r="P81" s="6">
        <v>64745</v>
      </c>
      <c r="Q81" s="52"/>
      <c r="R81" s="50"/>
      <c r="S81" s="52"/>
      <c r="T81" s="52"/>
      <c r="V81" s="50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</row>
    <row r="82" spans="1:65" ht="20.100000000000001" customHeight="1" x14ac:dyDescent="0.25">
      <c r="A82" s="17"/>
      <c r="B82" s="54" t="s">
        <v>195</v>
      </c>
      <c r="C82" s="56">
        <v>45800</v>
      </c>
      <c r="D82" s="54">
        <v>4</v>
      </c>
      <c r="E82" s="54">
        <v>2250000</v>
      </c>
      <c r="F82" s="54">
        <v>0</v>
      </c>
      <c r="G82" s="54">
        <f>E82-F82</f>
        <v>2250000</v>
      </c>
      <c r="H82" s="54">
        <f>ROUND(G82*18%,0)</f>
        <v>405000</v>
      </c>
      <c r="I82" s="54">
        <f>G82+H82</f>
        <v>2655000</v>
      </c>
      <c r="J82" s="54">
        <f>ROUND(G82*$J$12,0)</f>
        <v>45000</v>
      </c>
      <c r="K82" s="54">
        <f>G82*5%</f>
        <v>112500</v>
      </c>
      <c r="L82" s="54">
        <v>0</v>
      </c>
      <c r="M82" s="54">
        <f>H82</f>
        <v>405000</v>
      </c>
      <c r="N82" s="54">
        <f>Q82*12%</f>
        <v>270000</v>
      </c>
      <c r="O82" s="54">
        <f>ROUND(I82-SUM(J82:N82),)</f>
        <v>1822500</v>
      </c>
      <c r="P82" s="8"/>
      <c r="Q82" s="53">
        <v>2250000</v>
      </c>
      <c r="R82" s="54">
        <v>1000000</v>
      </c>
      <c r="S82" s="53">
        <f>R82*2%</f>
        <v>20000</v>
      </c>
      <c r="T82" s="53">
        <f>Q83-SUM(R82:R84)</f>
        <v>250000</v>
      </c>
      <c r="U82" s="54">
        <v>980000</v>
      </c>
      <c r="V82" s="54" t="s">
        <v>196</v>
      </c>
      <c r="W82" s="54"/>
    </row>
    <row r="83" spans="1:65" ht="20.100000000000001" customHeight="1" x14ac:dyDescent="0.25">
      <c r="A83" s="17"/>
      <c r="B83" s="54" t="s">
        <v>244</v>
      </c>
      <c r="C83" s="54"/>
      <c r="D83" s="54">
        <v>4</v>
      </c>
      <c r="E83" s="54">
        <f>M82</f>
        <v>405000</v>
      </c>
      <c r="F83" s="54"/>
      <c r="G83" s="54"/>
      <c r="H83" s="54"/>
      <c r="I83" s="54"/>
      <c r="J83" s="55"/>
      <c r="K83" s="55"/>
      <c r="L83" s="55"/>
      <c r="M83" s="54"/>
      <c r="N83" s="54"/>
      <c r="O83" s="54">
        <f>E83</f>
        <v>405000</v>
      </c>
      <c r="P83" s="8"/>
      <c r="Q83" s="53">
        <f>Q82*100%</f>
        <v>2250000</v>
      </c>
      <c r="R83" s="54">
        <v>1000000</v>
      </c>
      <c r="S83" s="53">
        <f>R83*2%</f>
        <v>20000</v>
      </c>
      <c r="T83" s="53"/>
      <c r="U83" s="54">
        <v>980000</v>
      </c>
      <c r="V83" s="54" t="s">
        <v>197</v>
      </c>
      <c r="W83" s="54"/>
    </row>
    <row r="84" spans="1:65" ht="20.100000000000001" customHeight="1" x14ac:dyDescent="0.25">
      <c r="A84" s="17"/>
      <c r="B84" s="54"/>
      <c r="C84" s="54"/>
      <c r="D84" s="54"/>
      <c r="E84" s="54"/>
      <c r="F84" s="54"/>
      <c r="G84" s="54"/>
      <c r="H84" s="54"/>
      <c r="I84" s="54"/>
      <c r="J84" s="55"/>
      <c r="K84" s="55"/>
      <c r="L84" s="55"/>
      <c r="M84" s="54"/>
      <c r="N84" s="54"/>
      <c r="O84" s="54"/>
      <c r="P84" s="8"/>
      <c r="Q84" s="53"/>
      <c r="R84" s="54"/>
      <c r="S84" s="53"/>
      <c r="T84" s="53"/>
      <c r="U84" s="54"/>
      <c r="V84" s="54"/>
      <c r="W84" s="54">
        <f>SUM(O82:O84)-SUM(U82:U84)</f>
        <v>267500</v>
      </c>
    </row>
    <row r="85" spans="1:65" s="16" customFormat="1" ht="20.100000000000001" customHeight="1" x14ac:dyDescent="0.25">
      <c r="A85" s="14">
        <v>64744</v>
      </c>
      <c r="C85" s="50"/>
      <c r="D85" s="50"/>
      <c r="E85" s="50"/>
      <c r="F85" s="50"/>
      <c r="G85" s="50"/>
      <c r="H85" s="50"/>
      <c r="I85" s="50"/>
      <c r="J85" s="51"/>
      <c r="K85" s="51"/>
      <c r="L85" s="51"/>
      <c r="M85" s="50"/>
      <c r="N85" s="50"/>
      <c r="O85" s="50"/>
      <c r="P85" s="6">
        <v>64744</v>
      </c>
      <c r="Q85" s="52"/>
      <c r="R85" s="50"/>
      <c r="S85" s="52"/>
      <c r="T85" s="52"/>
      <c r="V85" s="50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</row>
    <row r="86" spans="1:65" ht="20.100000000000001" customHeight="1" x14ac:dyDescent="0.25">
      <c r="A86" s="17"/>
      <c r="B86" s="54" t="s">
        <v>193</v>
      </c>
      <c r="C86" s="56">
        <v>45582</v>
      </c>
      <c r="D86" s="54">
        <v>117</v>
      </c>
      <c r="E86" s="54">
        <v>2208938</v>
      </c>
      <c r="F86" s="54">
        <v>0</v>
      </c>
      <c r="G86" s="54">
        <f>E86-F86</f>
        <v>2208938</v>
      </c>
      <c r="H86" s="54">
        <f>ROUND(G86*18%,0)</f>
        <v>397609</v>
      </c>
      <c r="I86" s="54">
        <f>G86+H86</f>
        <v>2606547</v>
      </c>
      <c r="J86" s="54">
        <f>ROUND(G86*$J$12,0)</f>
        <v>44179</v>
      </c>
      <c r="K86" s="54">
        <f>G86*5%</f>
        <v>110446.90000000001</v>
      </c>
      <c r="L86" s="54">
        <v>0</v>
      </c>
      <c r="M86" s="54">
        <f>H86</f>
        <v>397609</v>
      </c>
      <c r="N86" s="54">
        <f>Q86*12%</f>
        <v>311850</v>
      </c>
      <c r="O86" s="54">
        <f>ROUND(I86-SUM(J86:N86),)</f>
        <v>1742462</v>
      </c>
      <c r="P86" s="8"/>
      <c r="Q86" s="53">
        <v>2598750</v>
      </c>
      <c r="R86" s="54">
        <v>1500000</v>
      </c>
      <c r="S86" s="53">
        <f>R86*2%</f>
        <v>30000</v>
      </c>
      <c r="T86" s="53">
        <f>Q87-SUM(R86:R88)</f>
        <v>-291062.5</v>
      </c>
      <c r="U86" s="54">
        <v>1470000</v>
      </c>
      <c r="V86" s="22" t="s">
        <v>148</v>
      </c>
      <c r="W86" s="54"/>
    </row>
    <row r="87" spans="1:65" ht="20.100000000000001" customHeight="1" x14ac:dyDescent="0.25">
      <c r="A87" s="17"/>
      <c r="B87" s="72" t="s">
        <v>244</v>
      </c>
      <c r="C87" s="54"/>
      <c r="D87" s="54">
        <v>117</v>
      </c>
      <c r="E87" s="54">
        <f>M86</f>
        <v>397609</v>
      </c>
      <c r="F87" s="54"/>
      <c r="G87" s="54"/>
      <c r="H87" s="54"/>
      <c r="I87" s="54"/>
      <c r="J87" s="55"/>
      <c r="K87" s="55"/>
      <c r="L87" s="55"/>
      <c r="M87" s="54"/>
      <c r="N87" s="54"/>
      <c r="O87" s="54">
        <f>E87</f>
        <v>397609</v>
      </c>
      <c r="P87" s="8"/>
      <c r="Q87" s="53">
        <f>Q86*85%</f>
        <v>2208937.5</v>
      </c>
      <c r="R87" s="54">
        <v>1000000</v>
      </c>
      <c r="S87" s="53">
        <f>R87*2%</f>
        <v>20000</v>
      </c>
      <c r="T87" s="53"/>
      <c r="U87" s="54">
        <v>980000</v>
      </c>
      <c r="V87" s="54" t="s">
        <v>194</v>
      </c>
      <c r="W87" s="54"/>
    </row>
    <row r="88" spans="1:65" ht="20.100000000000001" customHeight="1" x14ac:dyDescent="0.25">
      <c r="A88" s="17"/>
      <c r="B88" s="54"/>
      <c r="C88" s="54"/>
      <c r="D88" s="54"/>
      <c r="E88" s="54"/>
      <c r="F88" s="54"/>
      <c r="G88" s="54"/>
      <c r="H88" s="54"/>
      <c r="I88" s="54"/>
      <c r="J88" s="55"/>
      <c r="K88" s="55"/>
      <c r="L88" s="55"/>
      <c r="M88" s="54"/>
      <c r="N88" s="54"/>
      <c r="O88" s="54"/>
      <c r="P88" s="8"/>
      <c r="Q88" s="53"/>
      <c r="R88" s="54"/>
      <c r="S88" s="53"/>
      <c r="T88" s="53"/>
      <c r="U88" s="54"/>
      <c r="V88" s="54"/>
      <c r="W88" s="54">
        <f>SUM(O86:O88)-SUM(U86:U88)</f>
        <v>-309929</v>
      </c>
    </row>
    <row r="89" spans="1:65" s="16" customFormat="1" ht="20.100000000000001" customHeight="1" x14ac:dyDescent="0.25">
      <c r="A89" s="14">
        <v>64743</v>
      </c>
      <c r="B89" s="50"/>
      <c r="C89" s="50"/>
      <c r="D89" s="50"/>
      <c r="E89" s="50"/>
      <c r="F89" s="50"/>
      <c r="G89" s="50"/>
      <c r="H89" s="50"/>
      <c r="I89" s="50"/>
      <c r="J89" s="51"/>
      <c r="K89" s="51"/>
      <c r="L89" s="51"/>
      <c r="M89" s="50"/>
      <c r="N89" s="50"/>
      <c r="O89" s="50"/>
      <c r="P89" s="6">
        <v>64743</v>
      </c>
      <c r="Q89" s="52"/>
      <c r="R89" s="50"/>
      <c r="S89" s="52"/>
      <c r="T89" s="50"/>
      <c r="U89" s="50"/>
      <c r="V89" s="50"/>
      <c r="W89" s="50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</row>
    <row r="90" spans="1:65" ht="20.100000000000001" customHeight="1" x14ac:dyDescent="0.25">
      <c r="A90" s="17"/>
      <c r="B90" s="54" t="s">
        <v>190</v>
      </c>
      <c r="C90" s="54"/>
      <c r="D90" s="54"/>
      <c r="E90" s="54"/>
      <c r="F90" s="54"/>
      <c r="G90" s="54"/>
      <c r="H90" s="54"/>
      <c r="I90" s="54"/>
      <c r="J90" s="55"/>
      <c r="K90" s="55"/>
      <c r="L90" s="55"/>
      <c r="M90" s="54"/>
      <c r="N90" s="54"/>
      <c r="O90" s="54"/>
      <c r="P90" s="8"/>
      <c r="Q90" s="53">
        <v>2250000</v>
      </c>
      <c r="R90" s="54">
        <v>1000000</v>
      </c>
      <c r="S90" s="53">
        <f>R90*2%</f>
        <v>20000</v>
      </c>
      <c r="T90" s="53">
        <f>Q91-SUM(R90:R92)</f>
        <v>250000</v>
      </c>
      <c r="U90" s="54">
        <v>980000</v>
      </c>
      <c r="V90" s="54" t="s">
        <v>191</v>
      </c>
      <c r="W90" s="54"/>
    </row>
    <row r="91" spans="1:65" ht="20.100000000000001" customHeight="1" x14ac:dyDescent="0.25">
      <c r="A91" s="17"/>
      <c r="B91" s="54"/>
      <c r="C91" s="54"/>
      <c r="D91" s="54"/>
      <c r="E91" s="54"/>
      <c r="F91" s="54"/>
      <c r="G91" s="54"/>
      <c r="H91" s="54"/>
      <c r="I91" s="54"/>
      <c r="J91" s="55"/>
      <c r="K91" s="55"/>
      <c r="L91" s="55"/>
      <c r="M91" s="54"/>
      <c r="N91" s="54"/>
      <c r="O91" s="54"/>
      <c r="P91" s="8"/>
      <c r="Q91" s="53">
        <f>Q90*100%</f>
        <v>2250000</v>
      </c>
      <c r="R91" s="54">
        <v>500000</v>
      </c>
      <c r="S91" s="53">
        <f>R91*2%</f>
        <v>10000</v>
      </c>
      <c r="T91" s="53"/>
      <c r="U91" s="54">
        <v>490000</v>
      </c>
      <c r="V91" s="54" t="s">
        <v>192</v>
      </c>
      <c r="W91" s="54"/>
    </row>
    <row r="92" spans="1:65" ht="20.100000000000001" customHeight="1" x14ac:dyDescent="0.25">
      <c r="A92" s="17"/>
      <c r="B92" s="54"/>
      <c r="C92" s="54"/>
      <c r="D92" s="54"/>
      <c r="E92" s="54"/>
      <c r="F92" s="54"/>
      <c r="G92" s="54"/>
      <c r="H92" s="54"/>
      <c r="I92" s="54"/>
      <c r="J92" s="55"/>
      <c r="K92" s="55"/>
      <c r="L92" s="55"/>
      <c r="M92" s="54"/>
      <c r="N92" s="54"/>
      <c r="O92" s="54"/>
      <c r="P92" s="8"/>
      <c r="Q92" s="53"/>
      <c r="R92" s="54">
        <v>500000</v>
      </c>
      <c r="S92" s="53">
        <f>R92*2%</f>
        <v>10000</v>
      </c>
      <c r="T92" s="53"/>
      <c r="U92" s="54">
        <v>490000</v>
      </c>
      <c r="V92" s="54" t="s">
        <v>238</v>
      </c>
      <c r="W92" s="54">
        <f>SUM(O90:O92)-SUM(U90:U92)</f>
        <v>-1960000</v>
      </c>
    </row>
    <row r="93" spans="1:65" s="16" customFormat="1" ht="20.100000000000001" customHeight="1" x14ac:dyDescent="0.25">
      <c r="A93" s="14">
        <v>64742</v>
      </c>
      <c r="B93" s="50"/>
      <c r="C93" s="50"/>
      <c r="D93" s="50"/>
      <c r="E93" s="50"/>
      <c r="F93" s="50"/>
      <c r="G93" s="50"/>
      <c r="H93" s="50"/>
      <c r="I93" s="50"/>
      <c r="J93" s="51"/>
      <c r="K93" s="51"/>
      <c r="L93" s="51"/>
      <c r="M93" s="50"/>
      <c r="N93" s="50"/>
      <c r="O93" s="50"/>
      <c r="P93" s="6">
        <v>64742</v>
      </c>
      <c r="Q93" s="52"/>
      <c r="R93" s="50"/>
      <c r="S93" s="52"/>
      <c r="T93" s="52"/>
      <c r="U93" s="50"/>
      <c r="V93" s="50"/>
      <c r="W93" s="50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</row>
    <row r="94" spans="1:65" ht="20.100000000000001" customHeight="1" x14ac:dyDescent="0.25">
      <c r="A94" s="17"/>
      <c r="B94" s="72" t="s">
        <v>278</v>
      </c>
      <c r="C94" s="56">
        <v>45560</v>
      </c>
      <c r="D94" s="54">
        <v>101</v>
      </c>
      <c r="E94" s="54">
        <v>941875</v>
      </c>
      <c r="F94" s="54">
        <v>0</v>
      </c>
      <c r="G94" s="54">
        <f>E94-F94</f>
        <v>941875</v>
      </c>
      <c r="H94" s="54">
        <f>ROUND(G94*18%,0)</f>
        <v>169538</v>
      </c>
      <c r="I94" s="54">
        <f>G94+H94</f>
        <v>1111413</v>
      </c>
      <c r="J94" s="54">
        <f>ROUND(G94*$J$12,0)</f>
        <v>18838</v>
      </c>
      <c r="K94" s="54">
        <f>G94*5%</f>
        <v>47093.75</v>
      </c>
      <c r="L94" s="54">
        <v>0</v>
      </c>
      <c r="M94" s="54">
        <f>H94</f>
        <v>169538</v>
      </c>
      <c r="N94" s="54">
        <v>452100</v>
      </c>
      <c r="O94" s="54">
        <f>ROUND(I94-SUM(J94:N94),)</f>
        <v>423843</v>
      </c>
      <c r="P94" s="8"/>
      <c r="Q94" s="53">
        <v>3767500</v>
      </c>
      <c r="R94" s="54">
        <v>1500000</v>
      </c>
      <c r="S94" s="53">
        <f>R94*2%</f>
        <v>30000</v>
      </c>
      <c r="T94" s="53">
        <f>Q95-SUM(R94:R96)</f>
        <v>-1558125</v>
      </c>
      <c r="U94" s="54">
        <v>1470000</v>
      </c>
      <c r="V94" s="54" t="s">
        <v>189</v>
      </c>
      <c r="W94" s="54"/>
    </row>
    <row r="95" spans="1:65" ht="20.100000000000001" customHeight="1" x14ac:dyDescent="0.25">
      <c r="A95" s="17"/>
      <c r="B95" s="72" t="s">
        <v>244</v>
      </c>
      <c r="C95" s="54"/>
      <c r="D95" s="54">
        <v>101</v>
      </c>
      <c r="E95" s="54">
        <f>M94</f>
        <v>169538</v>
      </c>
      <c r="F95" s="54"/>
      <c r="G95" s="54"/>
      <c r="H95" s="54"/>
      <c r="I95" s="54"/>
      <c r="J95" s="55"/>
      <c r="K95" s="55"/>
      <c r="L95" s="55"/>
      <c r="M95" s="54"/>
      <c r="N95" s="54"/>
      <c r="O95" s="54">
        <f>E95</f>
        <v>169538</v>
      </c>
      <c r="P95" s="8"/>
      <c r="Q95" s="53">
        <f>Q94*25%</f>
        <v>941875</v>
      </c>
      <c r="R95" s="54">
        <v>1000000</v>
      </c>
      <c r="S95" s="53">
        <f>R95*2%</f>
        <v>20000</v>
      </c>
      <c r="T95" s="53"/>
      <c r="U95" s="25">
        <v>980000</v>
      </c>
      <c r="V95" s="23" t="s">
        <v>239</v>
      </c>
      <c r="W95" s="25"/>
    </row>
    <row r="96" spans="1:65" ht="20.100000000000001" customHeight="1" x14ac:dyDescent="0.25">
      <c r="A96" s="17"/>
      <c r="B96" s="54"/>
      <c r="C96" s="54"/>
      <c r="D96" s="54"/>
      <c r="E96" s="54"/>
      <c r="F96" s="54"/>
      <c r="G96" s="54"/>
      <c r="H96" s="54"/>
      <c r="I96" s="54"/>
      <c r="J96" s="55"/>
      <c r="K96" s="55"/>
      <c r="L96" s="55"/>
      <c r="M96" s="54"/>
      <c r="N96" s="54"/>
      <c r="O96" s="54"/>
      <c r="P96" s="8"/>
      <c r="Q96" s="53"/>
      <c r="R96" s="54"/>
      <c r="S96" s="53"/>
      <c r="T96" s="53"/>
      <c r="U96" s="54"/>
      <c r="V96" s="54"/>
      <c r="W96" s="54">
        <f>SUM(O94:O96)-SUM(U94:U96)</f>
        <v>-1856619</v>
      </c>
    </row>
    <row r="97" spans="1:65" s="16" customFormat="1" ht="20.100000000000001" customHeight="1" x14ac:dyDescent="0.25">
      <c r="A97" s="14">
        <v>64741</v>
      </c>
      <c r="B97" s="50"/>
      <c r="C97" s="50"/>
      <c r="D97" s="50"/>
      <c r="E97" s="50"/>
      <c r="F97" s="50"/>
      <c r="G97" s="50"/>
      <c r="H97" s="50"/>
      <c r="I97" s="50"/>
      <c r="J97" s="51"/>
      <c r="K97" s="51"/>
      <c r="L97" s="51"/>
      <c r="M97" s="50"/>
      <c r="N97" s="50"/>
      <c r="O97" s="50"/>
      <c r="P97" s="6">
        <v>64741</v>
      </c>
      <c r="Q97" s="52"/>
      <c r="R97" s="50"/>
      <c r="S97" s="52"/>
      <c r="T97" s="52"/>
      <c r="U97" s="50"/>
      <c r="V97" s="50"/>
      <c r="W97" s="50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</row>
    <row r="98" spans="1:65" ht="20.100000000000001" customHeight="1" x14ac:dyDescent="0.25">
      <c r="A98" s="17"/>
      <c r="B98" s="54" t="s">
        <v>188</v>
      </c>
      <c r="C98" s="56">
        <v>45679</v>
      </c>
      <c r="D98" s="54">
        <v>139</v>
      </c>
      <c r="E98" s="54">
        <v>1365000</v>
      </c>
      <c r="F98" s="54">
        <v>0</v>
      </c>
      <c r="G98" s="54">
        <f>E98-F98</f>
        <v>1365000</v>
      </c>
      <c r="H98" s="54">
        <f>ROUND(G98*18%,0)</f>
        <v>245700</v>
      </c>
      <c r="I98" s="54">
        <f>G98+H98</f>
        <v>1610700</v>
      </c>
      <c r="J98" s="54">
        <f>ROUND(G98*$J$12,0)</f>
        <v>27300</v>
      </c>
      <c r="K98" s="54">
        <f>G98*5%</f>
        <v>68250</v>
      </c>
      <c r="L98" s="54">
        <v>0</v>
      </c>
      <c r="M98" s="54">
        <f>H98</f>
        <v>245700</v>
      </c>
      <c r="N98" s="54">
        <f>Q98*12%</f>
        <v>163800</v>
      </c>
      <c r="O98" s="54">
        <f>ROUND(I98-SUM(J98:N98),)</f>
        <v>1105650</v>
      </c>
      <c r="Q98" s="53">
        <v>1365000</v>
      </c>
      <c r="R98" s="54">
        <v>1000000</v>
      </c>
      <c r="S98" s="53">
        <f>R98*2%</f>
        <v>20000</v>
      </c>
      <c r="T98" s="53">
        <f>Q99-SUM(R98:R100)</f>
        <v>365000</v>
      </c>
      <c r="U98" s="54">
        <v>980000</v>
      </c>
      <c r="V98" s="22" t="s">
        <v>149</v>
      </c>
      <c r="W98" s="54"/>
    </row>
    <row r="99" spans="1:65" ht="20.100000000000001" customHeight="1" x14ac:dyDescent="0.25">
      <c r="A99" s="17"/>
      <c r="B99" s="72" t="s">
        <v>244</v>
      </c>
      <c r="C99" s="54"/>
      <c r="D99" s="54">
        <v>139</v>
      </c>
      <c r="E99" s="54">
        <f>M98</f>
        <v>245700</v>
      </c>
      <c r="F99" s="54"/>
      <c r="G99" s="54"/>
      <c r="H99" s="54"/>
      <c r="I99" s="54"/>
      <c r="J99" s="55"/>
      <c r="K99" s="55"/>
      <c r="L99" s="55"/>
      <c r="M99" s="54"/>
      <c r="N99" s="54"/>
      <c r="O99" s="54">
        <f>E99</f>
        <v>245700</v>
      </c>
      <c r="P99" s="8"/>
      <c r="Q99" s="53">
        <f>Q98*100%</f>
        <v>1365000</v>
      </c>
      <c r="R99" s="54"/>
      <c r="S99" s="53"/>
      <c r="T99" s="53"/>
      <c r="U99" s="54"/>
      <c r="V99" s="22"/>
      <c r="W99" s="54"/>
    </row>
    <row r="100" spans="1:65" ht="20.100000000000001" customHeight="1" x14ac:dyDescent="0.25">
      <c r="A100" s="17"/>
      <c r="B100" s="54"/>
      <c r="C100" s="54"/>
      <c r="D100" s="54"/>
      <c r="E100" s="54"/>
      <c r="F100" s="54"/>
      <c r="G100" s="54"/>
      <c r="H100" s="54"/>
      <c r="I100" s="54"/>
      <c r="J100" s="55"/>
      <c r="K100" s="55"/>
      <c r="L100" s="55"/>
      <c r="M100" s="54"/>
      <c r="N100" s="54"/>
      <c r="O100" s="54"/>
      <c r="P100" s="8"/>
      <c r="Q100" s="53"/>
      <c r="R100" s="54"/>
      <c r="S100" s="53"/>
      <c r="T100" s="53"/>
      <c r="U100" s="54"/>
      <c r="V100" s="22"/>
      <c r="W100" s="54">
        <f>SUM(O98:O100)-SUM(U98:U100)</f>
        <v>371350</v>
      </c>
    </row>
    <row r="101" spans="1:65" s="16" customFormat="1" ht="20.100000000000001" customHeight="1" x14ac:dyDescent="0.25">
      <c r="A101" s="14">
        <v>64739</v>
      </c>
      <c r="B101" s="50"/>
      <c r="C101" s="50"/>
      <c r="D101" s="50"/>
      <c r="E101" s="50"/>
      <c r="F101" s="50"/>
      <c r="G101" s="50"/>
      <c r="H101" s="50"/>
      <c r="I101" s="50"/>
      <c r="J101" s="51"/>
      <c r="K101" s="51"/>
      <c r="L101" s="51"/>
      <c r="M101" s="50"/>
      <c r="N101" s="50"/>
      <c r="O101" s="50"/>
      <c r="P101" s="6">
        <v>64739</v>
      </c>
      <c r="Q101" s="52"/>
      <c r="R101" s="50"/>
      <c r="S101" s="52"/>
      <c r="T101" s="52"/>
      <c r="U101" s="50"/>
      <c r="V101" s="24"/>
      <c r="W101" s="50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</row>
    <row r="102" spans="1:65" ht="20.100000000000001" customHeight="1" x14ac:dyDescent="0.25">
      <c r="A102" s="17"/>
      <c r="B102" s="54" t="s">
        <v>186</v>
      </c>
      <c r="C102" s="54"/>
      <c r="D102" s="54"/>
      <c r="E102" s="54"/>
      <c r="F102" s="54"/>
      <c r="G102" s="54"/>
      <c r="H102" s="54"/>
      <c r="I102" s="54"/>
      <c r="J102" s="55"/>
      <c r="K102" s="55"/>
      <c r="L102" s="55"/>
      <c r="M102" s="54"/>
      <c r="N102" s="54"/>
      <c r="O102" s="54"/>
      <c r="P102" s="8"/>
      <c r="Q102" s="53">
        <v>1706250</v>
      </c>
      <c r="R102" s="54">
        <v>1000000</v>
      </c>
      <c r="S102" s="53">
        <f>R102*2%</f>
        <v>20000</v>
      </c>
      <c r="T102" s="53">
        <f>Q103-SUM(R102:R104)</f>
        <v>706250</v>
      </c>
      <c r="U102" s="54">
        <v>980000</v>
      </c>
      <c r="V102" s="22" t="s">
        <v>187</v>
      </c>
      <c r="W102" s="54"/>
    </row>
    <row r="103" spans="1:65" ht="20.100000000000001" customHeight="1" x14ac:dyDescent="0.25">
      <c r="A103" s="17"/>
      <c r="B103" s="72" t="s">
        <v>244</v>
      </c>
      <c r="C103" s="54"/>
      <c r="D103" s="54"/>
      <c r="E103" s="54"/>
      <c r="F103" s="54"/>
      <c r="G103" s="54"/>
      <c r="H103" s="54"/>
      <c r="I103" s="54"/>
      <c r="J103" s="55"/>
      <c r="K103" s="55"/>
      <c r="L103" s="55"/>
      <c r="M103" s="54"/>
      <c r="N103" s="54"/>
      <c r="O103" s="54"/>
      <c r="P103" s="8"/>
      <c r="Q103" s="53">
        <f>Q102*100%</f>
        <v>1706250</v>
      </c>
      <c r="R103" s="54"/>
      <c r="S103" s="53"/>
      <c r="T103" s="53"/>
      <c r="U103" s="54"/>
      <c r="V103" s="22"/>
      <c r="W103" s="54"/>
    </row>
    <row r="104" spans="1:65" ht="20.100000000000001" customHeight="1" x14ac:dyDescent="0.25">
      <c r="A104" s="17"/>
      <c r="B104" s="54"/>
      <c r="C104" s="54"/>
      <c r="D104" s="54"/>
      <c r="E104" s="54"/>
      <c r="F104" s="54"/>
      <c r="G104" s="54"/>
      <c r="H104" s="54"/>
      <c r="I104" s="54"/>
      <c r="J104" s="55"/>
      <c r="K104" s="55"/>
      <c r="L104" s="55"/>
      <c r="M104" s="54"/>
      <c r="N104" s="54"/>
      <c r="O104" s="54"/>
      <c r="P104" s="8"/>
      <c r="Q104" s="53"/>
      <c r="R104" s="54"/>
      <c r="S104" s="53"/>
      <c r="T104" s="53"/>
      <c r="U104" s="54"/>
      <c r="V104" s="22"/>
      <c r="W104" s="54">
        <f>SUM(O102:O104)-SUM(U102:U104)</f>
        <v>-980000</v>
      </c>
    </row>
    <row r="105" spans="1:65" s="16" customFormat="1" ht="20.100000000000001" customHeight="1" x14ac:dyDescent="0.25">
      <c r="A105" s="14">
        <v>64738</v>
      </c>
      <c r="B105" s="50"/>
      <c r="C105" s="50"/>
      <c r="D105" s="50"/>
      <c r="E105" s="50"/>
      <c r="F105" s="50"/>
      <c r="G105" s="50"/>
      <c r="H105" s="50"/>
      <c r="I105" s="50"/>
      <c r="J105" s="51"/>
      <c r="K105" s="51"/>
      <c r="L105" s="51"/>
      <c r="M105" s="50"/>
      <c r="N105" s="50"/>
      <c r="O105" s="50"/>
      <c r="P105" s="6">
        <v>64738</v>
      </c>
      <c r="Q105" s="52"/>
      <c r="R105" s="50"/>
      <c r="S105" s="52"/>
      <c r="T105" s="52"/>
      <c r="U105" s="50"/>
      <c r="V105" s="24"/>
      <c r="W105" s="50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</row>
    <row r="106" spans="1:65" ht="20.100000000000001" customHeight="1" x14ac:dyDescent="0.25">
      <c r="A106" s="17"/>
      <c r="B106" s="54" t="s">
        <v>185</v>
      </c>
      <c r="C106" s="56">
        <v>45560</v>
      </c>
      <c r="D106" s="54">
        <v>110</v>
      </c>
      <c r="E106" s="54">
        <v>1706250</v>
      </c>
      <c r="F106" s="54">
        <v>0</v>
      </c>
      <c r="G106" s="54">
        <f>E106-F106</f>
        <v>1706250</v>
      </c>
      <c r="H106" s="54">
        <f>ROUND(G106*18%,0)</f>
        <v>307125</v>
      </c>
      <c r="I106" s="54">
        <f>G106+H106</f>
        <v>2013375</v>
      </c>
      <c r="J106" s="54">
        <f>ROUND(G106*$J$12,0)</f>
        <v>34125</v>
      </c>
      <c r="K106" s="54">
        <f>G106*5%</f>
        <v>85312.5</v>
      </c>
      <c r="L106" s="54">
        <v>0</v>
      </c>
      <c r="M106" s="54">
        <f>H106</f>
        <v>307125</v>
      </c>
      <c r="N106" s="54">
        <v>452100</v>
      </c>
      <c r="O106" s="54">
        <f>ROUND(I106-SUM(J106:N106),)</f>
        <v>1134713</v>
      </c>
      <c r="P106" s="8"/>
      <c r="Q106" s="53">
        <v>1706250</v>
      </c>
      <c r="R106" s="54">
        <v>1000000</v>
      </c>
      <c r="S106" s="53">
        <f>R106*2%</f>
        <v>20000</v>
      </c>
      <c r="T106" s="53">
        <f>Q107-SUM(R106:R108)</f>
        <v>706250</v>
      </c>
      <c r="U106" s="54">
        <v>980000</v>
      </c>
      <c r="V106" s="22" t="s">
        <v>249</v>
      </c>
      <c r="W106" s="54"/>
    </row>
    <row r="107" spans="1:65" ht="20.100000000000001" customHeight="1" x14ac:dyDescent="0.25">
      <c r="A107" s="17"/>
      <c r="B107" s="72" t="s">
        <v>244</v>
      </c>
      <c r="C107" s="54"/>
      <c r="D107" s="54">
        <v>110</v>
      </c>
      <c r="E107" s="54">
        <f>M106</f>
        <v>307125</v>
      </c>
      <c r="F107" s="54"/>
      <c r="G107" s="54"/>
      <c r="H107" s="54"/>
      <c r="I107" s="54"/>
      <c r="J107" s="55"/>
      <c r="K107" s="55"/>
      <c r="L107" s="55"/>
      <c r="M107" s="54"/>
      <c r="N107" s="54"/>
      <c r="O107" s="54">
        <f>E107</f>
        <v>307125</v>
      </c>
      <c r="P107" s="8"/>
      <c r="Q107" s="53">
        <f>Q106*100%</f>
        <v>1706250</v>
      </c>
      <c r="R107" s="54"/>
      <c r="S107" s="53"/>
      <c r="T107" s="53"/>
      <c r="U107" s="54"/>
      <c r="V107" s="22"/>
      <c r="W107" s="54"/>
    </row>
    <row r="108" spans="1:65" ht="20.100000000000001" customHeight="1" x14ac:dyDescent="0.25">
      <c r="A108" s="17"/>
      <c r="B108" s="54"/>
      <c r="C108" s="54"/>
      <c r="D108" s="54"/>
      <c r="E108" s="54"/>
      <c r="F108" s="54"/>
      <c r="G108" s="54"/>
      <c r="H108" s="54"/>
      <c r="I108" s="54"/>
      <c r="J108" s="55"/>
      <c r="K108" s="55"/>
      <c r="L108" s="55"/>
      <c r="M108" s="54"/>
      <c r="N108" s="54"/>
      <c r="O108" s="54"/>
      <c r="P108" s="8"/>
      <c r="Q108" s="53"/>
      <c r="R108" s="54"/>
      <c r="S108" s="53"/>
      <c r="T108" s="53"/>
      <c r="U108" s="54"/>
      <c r="V108" s="22"/>
      <c r="W108" s="54">
        <f>SUM(O106:O108)-SUM(U106:U108)</f>
        <v>461838</v>
      </c>
    </row>
    <row r="109" spans="1:65" s="16" customFormat="1" ht="20.100000000000001" customHeight="1" x14ac:dyDescent="0.25">
      <c r="A109" s="14">
        <v>64737</v>
      </c>
      <c r="B109" s="50"/>
      <c r="C109" s="50"/>
      <c r="D109" s="50"/>
      <c r="E109" s="50"/>
      <c r="F109" s="50"/>
      <c r="G109" s="50"/>
      <c r="H109" s="50"/>
      <c r="I109" s="50"/>
      <c r="J109" s="51"/>
      <c r="K109" s="51"/>
      <c r="L109" s="51"/>
      <c r="M109" s="50"/>
      <c r="N109" s="50"/>
      <c r="O109" s="50"/>
      <c r="P109" s="6">
        <v>64737</v>
      </c>
      <c r="Q109" s="52"/>
      <c r="R109" s="50"/>
      <c r="S109" s="52"/>
      <c r="T109" s="52"/>
      <c r="U109" s="50"/>
      <c r="V109" s="24"/>
      <c r="W109" s="50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</row>
    <row r="110" spans="1:65" ht="20.100000000000001" customHeight="1" x14ac:dyDescent="0.25">
      <c r="A110" s="17"/>
      <c r="B110" s="9" t="s">
        <v>184</v>
      </c>
      <c r="C110" s="56">
        <v>45737</v>
      </c>
      <c r="D110" s="54">
        <v>153</v>
      </c>
      <c r="E110" s="54">
        <v>2475000</v>
      </c>
      <c r="F110" s="54">
        <v>0</v>
      </c>
      <c r="G110" s="54">
        <f>E110-F110</f>
        <v>2475000</v>
      </c>
      <c r="H110" s="54">
        <f>ROUND(G110*18%,0)</f>
        <v>445500</v>
      </c>
      <c r="I110" s="54">
        <f>G110+H110</f>
        <v>2920500</v>
      </c>
      <c r="J110" s="54">
        <f>ROUND(G110*$J$12,0)</f>
        <v>49500</v>
      </c>
      <c r="K110" s="54">
        <f>G110*5%</f>
        <v>123750</v>
      </c>
      <c r="L110" s="54">
        <v>0</v>
      </c>
      <c r="M110" s="54">
        <f>H110</f>
        <v>445500</v>
      </c>
      <c r="N110" s="54">
        <f>Q110*12%</f>
        <v>297000</v>
      </c>
      <c r="O110" s="54">
        <f>ROUND(I110-SUM(J110:N110),)</f>
        <v>2004750</v>
      </c>
      <c r="P110" s="8"/>
      <c r="Q110" s="11">
        <v>2475000</v>
      </c>
      <c r="R110" s="54">
        <v>1500000</v>
      </c>
      <c r="S110" s="53">
        <f>R110*2%</f>
        <v>30000</v>
      </c>
      <c r="T110" s="53">
        <f>Q110-SUM(R110:R112)</f>
        <v>975000</v>
      </c>
      <c r="U110" s="54">
        <v>1470000</v>
      </c>
      <c r="V110" s="22" t="s">
        <v>153</v>
      </c>
      <c r="W110" s="54"/>
    </row>
    <row r="111" spans="1:65" ht="20.100000000000001" customHeight="1" x14ac:dyDescent="0.25">
      <c r="A111" s="17"/>
      <c r="B111" s="72" t="s">
        <v>244</v>
      </c>
      <c r="C111" s="54"/>
      <c r="D111" s="54">
        <v>153</v>
      </c>
      <c r="E111" s="54">
        <f>M110</f>
        <v>445500</v>
      </c>
      <c r="F111" s="54"/>
      <c r="G111" s="54"/>
      <c r="H111" s="54"/>
      <c r="I111" s="54"/>
      <c r="J111" s="55"/>
      <c r="K111" s="55"/>
      <c r="L111" s="55"/>
      <c r="M111" s="54"/>
      <c r="N111" s="54"/>
      <c r="O111" s="54">
        <f>E111</f>
        <v>445500</v>
      </c>
      <c r="P111" s="8"/>
      <c r="Q111" s="53">
        <f>Q110*100%</f>
        <v>2475000</v>
      </c>
      <c r="R111" s="54"/>
      <c r="S111" s="53"/>
      <c r="T111" s="53"/>
      <c r="U111" s="54"/>
      <c r="V111" s="22"/>
      <c r="W111" s="54"/>
    </row>
    <row r="112" spans="1:65" ht="20.100000000000001" customHeight="1" x14ac:dyDescent="0.25">
      <c r="A112" s="17"/>
      <c r="B112" s="54"/>
      <c r="C112" s="54"/>
      <c r="D112" s="54"/>
      <c r="E112" s="54"/>
      <c r="F112" s="54"/>
      <c r="G112" s="54"/>
      <c r="H112" s="54"/>
      <c r="I112" s="54"/>
      <c r="J112" s="55"/>
      <c r="K112" s="55"/>
      <c r="L112" s="55"/>
      <c r="M112" s="54"/>
      <c r="N112" s="54"/>
      <c r="O112" s="54"/>
      <c r="P112" s="8"/>
      <c r="Q112" s="53"/>
      <c r="R112" s="54"/>
      <c r="S112" s="53"/>
      <c r="T112" s="53"/>
      <c r="U112" s="54"/>
      <c r="V112" s="22"/>
      <c r="W112" s="54">
        <f>SUM(O110:O112)-SUM(U110:U112)</f>
        <v>980250</v>
      </c>
    </row>
    <row r="113" spans="1:65" s="16" customFormat="1" ht="20.100000000000001" customHeight="1" x14ac:dyDescent="0.25">
      <c r="A113" s="14">
        <v>64735</v>
      </c>
      <c r="B113" s="50"/>
      <c r="C113" s="50"/>
      <c r="D113" s="50"/>
      <c r="E113" s="50"/>
      <c r="F113" s="50"/>
      <c r="G113" s="50"/>
      <c r="H113" s="50"/>
      <c r="I113" s="50"/>
      <c r="J113" s="51"/>
      <c r="K113" s="51"/>
      <c r="L113" s="51"/>
      <c r="M113" s="50"/>
      <c r="N113" s="50"/>
      <c r="O113" s="50"/>
      <c r="P113" s="6">
        <v>64735</v>
      </c>
      <c r="Q113" s="52"/>
      <c r="R113" s="50"/>
      <c r="S113" s="52"/>
      <c r="T113" s="52"/>
      <c r="U113" s="50"/>
      <c r="V113" s="24"/>
      <c r="W113" s="50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</row>
    <row r="114" spans="1:65" ht="20.100000000000001" customHeight="1" x14ac:dyDescent="0.25">
      <c r="A114" s="17"/>
      <c r="B114" s="54" t="s">
        <v>183</v>
      </c>
      <c r="C114" s="56">
        <v>45574</v>
      </c>
      <c r="D114" s="54">
        <v>111</v>
      </c>
      <c r="E114" s="54">
        <v>1960000</v>
      </c>
      <c r="F114" s="54">
        <v>0</v>
      </c>
      <c r="G114" s="54">
        <f>E114-F114</f>
        <v>1960000</v>
      </c>
      <c r="H114" s="54">
        <f>ROUND(G114*18%,0)</f>
        <v>352800</v>
      </c>
      <c r="I114" s="54">
        <f>G114+H114</f>
        <v>2312800</v>
      </c>
      <c r="J114" s="54">
        <f>ROUND(G114*$J$12,0)</f>
        <v>39200</v>
      </c>
      <c r="K114" s="54">
        <f>G114*5%</f>
        <v>98000</v>
      </c>
      <c r="L114" s="54">
        <v>0</v>
      </c>
      <c r="M114" s="54">
        <f>H114</f>
        <v>352800</v>
      </c>
      <c r="N114" s="54">
        <f>Q114*12%</f>
        <v>235200</v>
      </c>
      <c r="O114" s="54">
        <f>ROUND(I114-SUM(J114:N114),)</f>
        <v>1587600</v>
      </c>
      <c r="Q114" s="53">
        <v>1960000</v>
      </c>
      <c r="R114" s="54">
        <v>1000000</v>
      </c>
      <c r="S114" s="53">
        <f>R114*2%</f>
        <v>20000</v>
      </c>
      <c r="T114" s="53">
        <f>Q115-SUM(R114:R116)</f>
        <v>960000</v>
      </c>
      <c r="U114" s="54">
        <v>980000</v>
      </c>
      <c r="V114" s="22" t="s">
        <v>152</v>
      </c>
      <c r="W114" s="54"/>
    </row>
    <row r="115" spans="1:65" ht="20.100000000000001" customHeight="1" x14ac:dyDescent="0.25">
      <c r="A115" s="17"/>
      <c r="B115" s="72" t="s">
        <v>244</v>
      </c>
      <c r="C115" s="54"/>
      <c r="D115" s="54">
        <v>111</v>
      </c>
      <c r="E115" s="54">
        <f>M114</f>
        <v>352800</v>
      </c>
      <c r="F115" s="54"/>
      <c r="G115" s="54"/>
      <c r="H115" s="54"/>
      <c r="I115" s="54"/>
      <c r="J115" s="55"/>
      <c r="K115" s="55"/>
      <c r="L115" s="55"/>
      <c r="M115" s="54"/>
      <c r="N115" s="54"/>
      <c r="O115" s="54">
        <f>E115</f>
        <v>352800</v>
      </c>
      <c r="P115" s="8"/>
      <c r="Q115" s="53">
        <f>Q114*100%</f>
        <v>1960000</v>
      </c>
      <c r="R115" s="54"/>
      <c r="S115" s="53"/>
      <c r="T115" s="53"/>
      <c r="U115" s="54"/>
      <c r="V115" s="22"/>
      <c r="W115" s="54"/>
    </row>
    <row r="116" spans="1:65" ht="20.100000000000001" customHeight="1" x14ac:dyDescent="0.25">
      <c r="A116" s="17"/>
      <c r="B116" s="54"/>
      <c r="C116" s="54"/>
      <c r="D116" s="54"/>
      <c r="E116" s="54"/>
      <c r="F116" s="54"/>
      <c r="G116" s="54"/>
      <c r="H116" s="54"/>
      <c r="I116" s="54"/>
      <c r="J116" s="55"/>
      <c r="K116" s="55"/>
      <c r="L116" s="55"/>
      <c r="M116" s="54"/>
      <c r="N116" s="54"/>
      <c r="O116" s="54"/>
      <c r="P116" s="8"/>
      <c r="Q116" s="53"/>
      <c r="R116" s="54"/>
      <c r="S116" s="53"/>
      <c r="T116" s="53"/>
      <c r="U116" s="54"/>
      <c r="V116" s="22"/>
      <c r="W116" s="54">
        <f>SUM(O114:O116)-SUM(U114:U116)</f>
        <v>960400</v>
      </c>
    </row>
    <row r="117" spans="1:65" s="16" customFormat="1" ht="20.100000000000001" customHeight="1" x14ac:dyDescent="0.25">
      <c r="A117" s="14">
        <v>64730</v>
      </c>
      <c r="B117" s="50"/>
      <c r="C117" s="50"/>
      <c r="D117" s="50"/>
      <c r="E117" s="50"/>
      <c r="F117" s="50"/>
      <c r="G117" s="50"/>
      <c r="H117" s="50"/>
      <c r="I117" s="50"/>
      <c r="J117" s="51"/>
      <c r="K117" s="51"/>
      <c r="L117" s="51"/>
      <c r="M117" s="50"/>
      <c r="N117" s="50"/>
      <c r="O117" s="50"/>
      <c r="P117" s="6">
        <v>64730</v>
      </c>
      <c r="Q117" s="52"/>
      <c r="R117" s="50"/>
      <c r="S117" s="52"/>
      <c r="T117" s="52"/>
      <c r="U117" s="50"/>
      <c r="V117" s="24"/>
      <c r="W117" s="50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</row>
    <row r="118" spans="1:65" ht="20.100000000000001" customHeight="1" x14ac:dyDescent="0.25">
      <c r="A118" s="17"/>
      <c r="B118" s="54" t="s">
        <v>182</v>
      </c>
      <c r="C118" s="56">
        <v>45647</v>
      </c>
      <c r="D118" s="54">
        <v>128</v>
      </c>
      <c r="E118" s="54">
        <v>1365000</v>
      </c>
      <c r="F118" s="54">
        <v>0</v>
      </c>
      <c r="G118" s="54">
        <f>E118-F118</f>
        <v>1365000</v>
      </c>
      <c r="H118" s="54">
        <f>ROUND(G118*18%,0)</f>
        <v>245700</v>
      </c>
      <c r="I118" s="54">
        <f>G118+H118</f>
        <v>1610700</v>
      </c>
      <c r="J118" s="54">
        <f>ROUND(G118*$J$12,0)</f>
        <v>27300</v>
      </c>
      <c r="K118" s="54">
        <f>G118*5%</f>
        <v>68250</v>
      </c>
      <c r="L118" s="54">
        <v>0</v>
      </c>
      <c r="M118" s="54">
        <f>H118</f>
        <v>245700</v>
      </c>
      <c r="N118" s="54">
        <f>Q118*12%</f>
        <v>163800</v>
      </c>
      <c r="O118" s="54">
        <f>ROUND(I118-SUM(J118:N118),)</f>
        <v>1105650</v>
      </c>
      <c r="P118" s="8"/>
      <c r="Q118" s="53">
        <v>1365000</v>
      </c>
      <c r="R118" s="54">
        <v>1000000</v>
      </c>
      <c r="S118" s="53">
        <f>R118*2%</f>
        <v>20000</v>
      </c>
      <c r="T118" s="53">
        <f>Q119-SUM(R118:R120)</f>
        <v>365000</v>
      </c>
      <c r="U118" s="54">
        <v>980000</v>
      </c>
      <c r="V118" s="22" t="s">
        <v>250</v>
      </c>
      <c r="W118" s="54"/>
    </row>
    <row r="119" spans="1:65" ht="20.100000000000001" customHeight="1" x14ac:dyDescent="0.25">
      <c r="A119" s="17"/>
      <c r="B119" s="72" t="s">
        <v>244</v>
      </c>
      <c r="C119" s="54"/>
      <c r="D119" s="54">
        <v>128</v>
      </c>
      <c r="E119" s="54">
        <f>M118</f>
        <v>245700</v>
      </c>
      <c r="F119" s="54"/>
      <c r="G119" s="54"/>
      <c r="H119" s="54"/>
      <c r="I119" s="54"/>
      <c r="J119" s="55"/>
      <c r="K119" s="55"/>
      <c r="L119" s="55"/>
      <c r="M119" s="54"/>
      <c r="N119" s="54"/>
      <c r="O119" s="54">
        <f>E119</f>
        <v>245700</v>
      </c>
      <c r="P119" s="8"/>
      <c r="Q119" s="53">
        <f>Q118*100%</f>
        <v>1365000</v>
      </c>
      <c r="R119" s="54"/>
      <c r="S119" s="53"/>
      <c r="T119" s="53"/>
      <c r="U119" s="54"/>
      <c r="V119" s="22"/>
      <c r="W119" s="54"/>
    </row>
    <row r="120" spans="1:65" ht="20.100000000000001" customHeight="1" x14ac:dyDescent="0.25">
      <c r="A120" s="17"/>
      <c r="B120" s="54"/>
      <c r="C120" s="54"/>
      <c r="D120" s="54"/>
      <c r="E120" s="54"/>
      <c r="F120" s="54"/>
      <c r="G120" s="54"/>
      <c r="H120" s="54"/>
      <c r="I120" s="54"/>
      <c r="J120" s="55"/>
      <c r="K120" s="55"/>
      <c r="L120" s="55"/>
      <c r="M120" s="54"/>
      <c r="N120" s="54"/>
      <c r="O120" s="54"/>
      <c r="P120" s="8"/>
      <c r="Q120" s="53"/>
      <c r="R120" s="54"/>
      <c r="S120" s="53"/>
      <c r="T120" s="53"/>
      <c r="U120" s="54"/>
      <c r="V120" s="22"/>
      <c r="W120" s="54">
        <f>SUM(O118:O120)-SUM(U118:U120)</f>
        <v>371350</v>
      </c>
    </row>
    <row r="121" spans="1:65" s="16" customFormat="1" ht="20.100000000000001" customHeight="1" x14ac:dyDescent="0.25">
      <c r="A121" s="14">
        <v>64728</v>
      </c>
      <c r="B121" s="50"/>
      <c r="C121" s="50"/>
      <c r="D121" s="50"/>
      <c r="E121" s="50"/>
      <c r="F121" s="50"/>
      <c r="G121" s="50"/>
      <c r="H121" s="50"/>
      <c r="I121" s="50"/>
      <c r="J121" s="51"/>
      <c r="K121" s="51"/>
      <c r="L121" s="51"/>
      <c r="M121" s="50"/>
      <c r="N121" s="50"/>
      <c r="O121" s="50"/>
      <c r="P121" s="6">
        <v>64728</v>
      </c>
      <c r="Q121" s="52"/>
      <c r="R121" s="50"/>
      <c r="S121" s="52"/>
      <c r="T121" s="52"/>
      <c r="U121" s="50"/>
      <c r="V121" s="24"/>
      <c r="W121" s="50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</row>
    <row r="122" spans="1:65" ht="20.100000000000001" customHeight="1" x14ac:dyDescent="0.25">
      <c r="A122" s="17"/>
      <c r="B122" s="54" t="s">
        <v>181</v>
      </c>
      <c r="C122" s="56">
        <v>45584</v>
      </c>
      <c r="D122" s="54">
        <v>118</v>
      </c>
      <c r="E122" s="54">
        <v>1706250</v>
      </c>
      <c r="F122" s="54">
        <v>0</v>
      </c>
      <c r="G122" s="54">
        <f>E122-F122</f>
        <v>1706250</v>
      </c>
      <c r="H122" s="54">
        <f>ROUND(G122*18%,0)</f>
        <v>307125</v>
      </c>
      <c r="I122" s="54">
        <f>G122+H122</f>
        <v>2013375</v>
      </c>
      <c r="J122" s="54">
        <f>ROUND(G122*$J$12,0)</f>
        <v>34125</v>
      </c>
      <c r="K122" s="54">
        <f>G122*5%</f>
        <v>85312.5</v>
      </c>
      <c r="L122" s="54">
        <v>0</v>
      </c>
      <c r="M122" s="54">
        <f>H122</f>
        <v>307125</v>
      </c>
      <c r="N122" s="54">
        <f>Q122*12%</f>
        <v>204750</v>
      </c>
      <c r="O122" s="54">
        <f>ROUND(I122-SUM(J122:N122),)</f>
        <v>1382063</v>
      </c>
      <c r="P122" s="8"/>
      <c r="Q122" s="53">
        <v>1706250</v>
      </c>
      <c r="R122" s="54">
        <v>1000000</v>
      </c>
      <c r="S122" s="53">
        <f>R122*2%</f>
        <v>20000</v>
      </c>
      <c r="T122" s="53">
        <f>Q123-SUM(R122:R124)</f>
        <v>706250</v>
      </c>
      <c r="U122" s="54">
        <v>980000</v>
      </c>
      <c r="V122" s="18" t="s">
        <v>251</v>
      </c>
      <c r="W122" s="54"/>
    </row>
    <row r="123" spans="1:65" ht="20.100000000000001" customHeight="1" x14ac:dyDescent="0.25">
      <c r="A123" s="17"/>
      <c r="B123" s="72" t="s">
        <v>244</v>
      </c>
      <c r="C123" s="54"/>
      <c r="D123" s="54">
        <v>118</v>
      </c>
      <c r="E123" s="54">
        <f>M122</f>
        <v>307125</v>
      </c>
      <c r="F123" s="54"/>
      <c r="G123" s="54"/>
      <c r="H123" s="54"/>
      <c r="I123" s="54"/>
      <c r="J123" s="55"/>
      <c r="K123" s="55"/>
      <c r="L123" s="55"/>
      <c r="M123" s="54"/>
      <c r="N123" s="54"/>
      <c r="O123" s="54">
        <f>E123</f>
        <v>307125</v>
      </c>
      <c r="P123" s="8"/>
      <c r="Q123" s="53">
        <f>Q122*100%</f>
        <v>1706250</v>
      </c>
      <c r="R123" s="54"/>
      <c r="S123" s="53"/>
      <c r="T123" s="53"/>
      <c r="U123" s="54"/>
      <c r="V123" s="22"/>
      <c r="W123" s="54"/>
    </row>
    <row r="124" spans="1:65" ht="20.100000000000001" customHeight="1" x14ac:dyDescent="0.25">
      <c r="A124" s="17"/>
      <c r="B124" s="54"/>
      <c r="C124" s="54"/>
      <c r="D124" s="54"/>
      <c r="E124" s="54"/>
      <c r="F124" s="54"/>
      <c r="G124" s="54"/>
      <c r="H124" s="54"/>
      <c r="I124" s="54"/>
      <c r="J124" s="55"/>
      <c r="K124" s="55"/>
      <c r="L124" s="55"/>
      <c r="M124" s="54"/>
      <c r="N124" s="54"/>
      <c r="O124" s="54"/>
      <c r="P124" s="8"/>
      <c r="Q124" s="53"/>
      <c r="R124" s="54"/>
      <c r="S124" s="53"/>
      <c r="T124" s="53"/>
      <c r="U124" s="54"/>
      <c r="V124" s="22"/>
      <c r="W124" s="54">
        <f>SUM(O122:O124)-SUM(U122:U124)</f>
        <v>709188</v>
      </c>
    </row>
    <row r="125" spans="1:65" s="16" customFormat="1" ht="20.100000000000001" customHeight="1" x14ac:dyDescent="0.25">
      <c r="A125" s="14">
        <v>64727</v>
      </c>
      <c r="B125" s="50"/>
      <c r="C125" s="50"/>
      <c r="D125" s="50"/>
      <c r="E125" s="50"/>
      <c r="F125" s="50"/>
      <c r="G125" s="50"/>
      <c r="H125" s="50"/>
      <c r="I125" s="50"/>
      <c r="J125" s="51"/>
      <c r="K125" s="51"/>
      <c r="L125" s="51"/>
      <c r="M125" s="50"/>
      <c r="N125" s="50"/>
      <c r="O125" s="50"/>
      <c r="P125" s="6">
        <v>64727</v>
      </c>
      <c r="Q125" s="52"/>
      <c r="R125" s="50"/>
      <c r="S125" s="52"/>
      <c r="T125" s="52"/>
      <c r="U125" s="50"/>
      <c r="V125" s="24"/>
      <c r="W125" s="50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</row>
    <row r="126" spans="1:65" ht="20.100000000000001" customHeight="1" x14ac:dyDescent="0.25">
      <c r="A126" s="17"/>
      <c r="B126" s="54" t="s">
        <v>180</v>
      </c>
      <c r="C126" s="54"/>
      <c r="D126" s="54"/>
      <c r="E126" s="54"/>
      <c r="F126" s="54"/>
      <c r="G126" s="54"/>
      <c r="H126" s="54"/>
      <c r="I126" s="54"/>
      <c r="J126" s="55"/>
      <c r="K126" s="55"/>
      <c r="L126" s="55"/>
      <c r="M126" s="54"/>
      <c r="N126" s="54"/>
      <c r="O126" s="54"/>
      <c r="P126" s="8"/>
      <c r="Q126" s="53">
        <v>5000000</v>
      </c>
      <c r="R126" s="54">
        <v>1000000</v>
      </c>
      <c r="S126" s="53">
        <f>R126*2%</f>
        <v>20000</v>
      </c>
      <c r="T126" s="53">
        <f>Q127-SUM(R126:R128)</f>
        <v>4000000</v>
      </c>
      <c r="U126" s="54">
        <v>980000</v>
      </c>
      <c r="V126" s="18" t="s">
        <v>252</v>
      </c>
      <c r="W126" s="54"/>
    </row>
    <row r="127" spans="1:65" ht="20.100000000000001" customHeight="1" x14ac:dyDescent="0.25">
      <c r="A127" s="17"/>
      <c r="B127" s="54"/>
      <c r="C127" s="54"/>
      <c r="D127" s="54"/>
      <c r="E127" s="54"/>
      <c r="F127" s="54"/>
      <c r="G127" s="54"/>
      <c r="H127" s="54"/>
      <c r="I127" s="54"/>
      <c r="J127" s="55"/>
      <c r="K127" s="55"/>
      <c r="L127" s="55"/>
      <c r="M127" s="54"/>
      <c r="N127" s="54"/>
      <c r="O127" s="54"/>
      <c r="P127" s="8"/>
      <c r="Q127" s="53">
        <f>Q126*100%</f>
        <v>5000000</v>
      </c>
      <c r="R127" s="54"/>
      <c r="S127" s="53"/>
      <c r="T127" s="53"/>
      <c r="U127" s="54"/>
      <c r="V127" s="77"/>
      <c r="W127" s="54"/>
    </row>
    <row r="128" spans="1:65" ht="20.100000000000001" customHeight="1" x14ac:dyDescent="0.25">
      <c r="A128" s="17"/>
      <c r="B128" s="54"/>
      <c r="C128" s="54"/>
      <c r="D128" s="54"/>
      <c r="E128" s="54"/>
      <c r="F128" s="54"/>
      <c r="G128" s="54"/>
      <c r="H128" s="54"/>
      <c r="I128" s="54"/>
      <c r="J128" s="55"/>
      <c r="K128" s="55"/>
      <c r="L128" s="55"/>
      <c r="M128" s="54"/>
      <c r="N128" s="54"/>
      <c r="O128" s="54"/>
      <c r="P128" s="8"/>
      <c r="Q128" s="53"/>
      <c r="R128" s="54"/>
      <c r="S128" s="53"/>
      <c r="T128" s="53"/>
      <c r="U128" s="54"/>
      <c r="V128" s="22"/>
      <c r="W128" s="54">
        <f>SUM(O126:O128)-SUM(U126:U128)</f>
        <v>-980000</v>
      </c>
    </row>
    <row r="129" spans="1:65" s="16" customFormat="1" ht="20.100000000000001" customHeight="1" x14ac:dyDescent="0.25">
      <c r="A129" s="14">
        <v>64725</v>
      </c>
      <c r="B129" s="50"/>
      <c r="C129" s="50"/>
      <c r="D129" s="50"/>
      <c r="E129" s="50"/>
      <c r="F129" s="50"/>
      <c r="G129" s="50"/>
      <c r="H129" s="50"/>
      <c r="I129" s="50"/>
      <c r="J129" s="51"/>
      <c r="K129" s="51"/>
      <c r="L129" s="51"/>
      <c r="M129" s="50"/>
      <c r="N129" s="50"/>
      <c r="O129" s="50"/>
      <c r="P129" s="6">
        <v>64725</v>
      </c>
      <c r="Q129" s="52"/>
      <c r="R129" s="50"/>
      <c r="S129" s="52"/>
      <c r="T129" s="52"/>
      <c r="U129" s="50"/>
      <c r="V129" s="24"/>
      <c r="W129" s="50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</row>
    <row r="130" spans="1:65" ht="20.100000000000001" customHeight="1" x14ac:dyDescent="0.25">
      <c r="A130" s="17"/>
      <c r="B130" s="54" t="s">
        <v>179</v>
      </c>
      <c r="C130" s="56" t="s">
        <v>269</v>
      </c>
      <c r="D130" s="54">
        <v>75</v>
      </c>
      <c r="E130" s="54">
        <v>2975000</v>
      </c>
      <c r="F130" s="54">
        <v>0</v>
      </c>
      <c r="G130" s="54">
        <f>E130-F130</f>
        <v>2975000</v>
      </c>
      <c r="H130" s="54">
        <f>ROUND(G130*18%,0)</f>
        <v>535500</v>
      </c>
      <c r="I130" s="54">
        <f>G130+H130</f>
        <v>3510500</v>
      </c>
      <c r="J130" s="54">
        <f>ROUND(G130*$J$12,0)</f>
        <v>59500</v>
      </c>
      <c r="K130" s="54">
        <f>G130*5%</f>
        <v>148750</v>
      </c>
      <c r="L130" s="54">
        <v>0</v>
      </c>
      <c r="M130" s="54">
        <f>H130</f>
        <v>535500</v>
      </c>
      <c r="N130" s="54">
        <f>G130*12%</f>
        <v>357000</v>
      </c>
      <c r="O130" s="54">
        <f>ROUND(I130-SUM(J130:N130),)</f>
        <v>2409750</v>
      </c>
      <c r="P130" s="8"/>
      <c r="Q130" s="53">
        <v>3500000</v>
      </c>
      <c r="R130" s="54">
        <v>500000</v>
      </c>
      <c r="S130" s="53">
        <f>R130*2%</f>
        <v>10000</v>
      </c>
      <c r="T130" s="53">
        <f>Q131-SUM(R130:R132)</f>
        <v>1975000</v>
      </c>
      <c r="U130" s="54">
        <v>490000</v>
      </c>
      <c r="V130" s="22" t="s">
        <v>290</v>
      </c>
      <c r="W130" s="54"/>
    </row>
    <row r="131" spans="1:65" ht="20.100000000000001" customHeight="1" x14ac:dyDescent="0.25">
      <c r="A131" s="17"/>
      <c r="B131" s="54" t="s">
        <v>244</v>
      </c>
      <c r="C131" s="54"/>
      <c r="D131" s="54">
        <v>75</v>
      </c>
      <c r="E131" s="54">
        <f>M130</f>
        <v>535500</v>
      </c>
      <c r="F131" s="54"/>
      <c r="G131" s="54"/>
      <c r="H131" s="54"/>
      <c r="I131" s="54"/>
      <c r="J131" s="55"/>
      <c r="K131" s="55"/>
      <c r="L131" s="55"/>
      <c r="M131" s="54"/>
      <c r="N131" s="54"/>
      <c r="O131" s="54">
        <f>E131</f>
        <v>535500</v>
      </c>
      <c r="P131" s="8"/>
      <c r="Q131" s="53">
        <f>Q130*85%</f>
        <v>2975000</v>
      </c>
      <c r="R131" s="54">
        <v>500000</v>
      </c>
      <c r="S131" s="53"/>
      <c r="T131" s="53"/>
      <c r="U131" s="54">
        <v>500000</v>
      </c>
      <c r="V131" s="77" t="s">
        <v>306</v>
      </c>
      <c r="W131" s="54"/>
    </row>
    <row r="132" spans="1:65" ht="20.100000000000001" customHeight="1" x14ac:dyDescent="0.25">
      <c r="A132" s="17"/>
      <c r="B132" s="54"/>
      <c r="C132" s="54"/>
      <c r="D132" s="54"/>
      <c r="E132" s="54"/>
      <c r="F132" s="54"/>
      <c r="G132" s="54"/>
      <c r="H132" s="54"/>
      <c r="I132" s="54"/>
      <c r="J132" s="55"/>
      <c r="K132" s="55"/>
      <c r="L132" s="55"/>
      <c r="M132" s="54"/>
      <c r="N132" s="54"/>
      <c r="O132" s="54"/>
      <c r="P132" s="8"/>
      <c r="Q132" s="53"/>
      <c r="R132" s="54"/>
      <c r="S132" s="53"/>
      <c r="T132" s="53"/>
      <c r="U132" s="54"/>
      <c r="V132" s="22"/>
      <c r="W132" s="54">
        <f>SUM(O130:O132)-SUM(U130:U132)</f>
        <v>1955250</v>
      </c>
    </row>
    <row r="133" spans="1:65" s="16" customFormat="1" ht="20.100000000000001" customHeight="1" x14ac:dyDescent="0.25">
      <c r="A133" s="14">
        <v>64724</v>
      </c>
      <c r="B133" s="50"/>
      <c r="C133" s="50"/>
      <c r="D133" s="50"/>
      <c r="E133" s="50"/>
      <c r="F133" s="50"/>
      <c r="G133" s="50"/>
      <c r="H133" s="50"/>
      <c r="I133" s="50"/>
      <c r="J133" s="51"/>
      <c r="K133" s="51"/>
      <c r="L133" s="51"/>
      <c r="M133" s="50"/>
      <c r="N133" s="50"/>
      <c r="O133" s="50"/>
      <c r="P133" s="6">
        <v>64724</v>
      </c>
      <c r="Q133" s="52"/>
      <c r="R133" s="50"/>
      <c r="S133" s="52"/>
      <c r="T133" s="52"/>
      <c r="U133" s="50"/>
      <c r="V133" s="24"/>
      <c r="W133" s="50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</row>
    <row r="134" spans="1:65" ht="20.100000000000001" customHeight="1" x14ac:dyDescent="0.25">
      <c r="A134" s="17"/>
      <c r="B134" s="54" t="s">
        <v>276</v>
      </c>
      <c r="C134" s="57">
        <v>45551</v>
      </c>
      <c r="D134" s="17">
        <v>91</v>
      </c>
      <c r="E134" s="54">
        <v>1365000</v>
      </c>
      <c r="F134" s="54"/>
      <c r="G134" s="54">
        <f>E134-F134</f>
        <v>1365000</v>
      </c>
      <c r="H134" s="54">
        <f>ROUND(G134*18%,0)</f>
        <v>245700</v>
      </c>
      <c r="I134" s="54">
        <f>G134+H134</f>
        <v>1610700</v>
      </c>
      <c r="J134" s="54">
        <f>ROUND(G134*$J$12,0)</f>
        <v>27300</v>
      </c>
      <c r="K134" s="54">
        <f>G134*5%</f>
        <v>68250</v>
      </c>
      <c r="L134" s="54">
        <v>0</v>
      </c>
      <c r="M134" s="54">
        <f>H134</f>
        <v>245700</v>
      </c>
      <c r="N134" s="54">
        <f>G134*12%</f>
        <v>163800</v>
      </c>
      <c r="O134" s="54">
        <f>ROUND(I134-SUM(J134:N134),)</f>
        <v>1105650</v>
      </c>
      <c r="Q134" s="53">
        <v>1365000</v>
      </c>
      <c r="R134" s="54">
        <v>1000000</v>
      </c>
      <c r="S134" s="53">
        <f>R134*2%</f>
        <v>20000</v>
      </c>
      <c r="T134" s="53">
        <f>Q135-SUM(R134:R136)</f>
        <v>365000</v>
      </c>
      <c r="U134" s="54">
        <v>980000</v>
      </c>
      <c r="V134" s="18" t="s">
        <v>150</v>
      </c>
      <c r="W134" s="54"/>
    </row>
    <row r="135" spans="1:65" ht="20.100000000000001" customHeight="1" x14ac:dyDescent="0.25">
      <c r="A135" s="17"/>
      <c r="B135" s="54"/>
      <c r="C135" s="54"/>
      <c r="D135" s="54">
        <v>91</v>
      </c>
      <c r="E135" s="54">
        <f>M134</f>
        <v>245700</v>
      </c>
      <c r="F135" s="54"/>
      <c r="G135" s="54"/>
      <c r="H135" s="54"/>
      <c r="I135" s="54"/>
      <c r="J135" s="55"/>
      <c r="K135" s="55"/>
      <c r="L135" s="55"/>
      <c r="M135" s="54"/>
      <c r="N135" s="54"/>
      <c r="O135" s="54">
        <f>E135</f>
        <v>245700</v>
      </c>
      <c r="Q135" s="53">
        <f>Q134*100%</f>
        <v>1365000</v>
      </c>
      <c r="R135" s="54"/>
      <c r="S135" s="53"/>
      <c r="T135" s="53"/>
      <c r="U135" s="54"/>
      <c r="V135" s="22"/>
      <c r="W135" s="54"/>
    </row>
    <row r="136" spans="1:65" ht="20.100000000000001" customHeight="1" x14ac:dyDescent="0.25">
      <c r="A136" s="17"/>
      <c r="B136" s="54"/>
      <c r="C136" s="54"/>
      <c r="D136" s="54"/>
      <c r="E136" s="54"/>
      <c r="F136" s="54"/>
      <c r="G136" s="54"/>
      <c r="H136" s="54"/>
      <c r="I136" s="54"/>
      <c r="J136" s="55"/>
      <c r="K136" s="55"/>
      <c r="L136" s="55"/>
      <c r="M136" s="54"/>
      <c r="N136" s="54"/>
      <c r="O136" s="54"/>
      <c r="P136" s="8"/>
      <c r="Q136" s="53"/>
      <c r="R136" s="54"/>
      <c r="S136" s="53"/>
      <c r="T136" s="53"/>
      <c r="U136" s="54"/>
      <c r="V136" s="22"/>
      <c r="W136" s="54">
        <f>SUM(O134:O136)-SUM(U134:U136)</f>
        <v>371350</v>
      </c>
    </row>
    <row r="137" spans="1:65" s="16" customFormat="1" ht="20.100000000000001" customHeight="1" x14ac:dyDescent="0.25">
      <c r="A137" s="14">
        <v>64715</v>
      </c>
      <c r="B137" s="50"/>
      <c r="C137" s="50"/>
      <c r="D137" s="50"/>
      <c r="E137" s="50"/>
      <c r="F137" s="50"/>
      <c r="G137" s="50"/>
      <c r="H137" s="50"/>
      <c r="I137" s="50"/>
      <c r="J137" s="51"/>
      <c r="K137" s="51"/>
      <c r="L137" s="51"/>
      <c r="M137" s="50"/>
      <c r="N137" s="50"/>
      <c r="O137" s="50"/>
      <c r="P137" s="6">
        <v>64715</v>
      </c>
      <c r="Q137" s="52"/>
      <c r="R137" s="50"/>
      <c r="S137" s="52"/>
      <c r="T137" s="52"/>
      <c r="U137" s="50"/>
      <c r="V137" s="24"/>
      <c r="W137" s="50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</row>
    <row r="138" spans="1:65" ht="20.100000000000001" customHeight="1" x14ac:dyDescent="0.25">
      <c r="A138" s="17"/>
      <c r="B138" s="54" t="s">
        <v>178</v>
      </c>
      <c r="C138" s="58">
        <v>45519</v>
      </c>
      <c r="D138" s="54">
        <v>81</v>
      </c>
      <c r="E138" s="54">
        <v>3579125</v>
      </c>
      <c r="F138" s="54"/>
      <c r="G138" s="54">
        <f>E138-F138</f>
        <v>3579125</v>
      </c>
      <c r="H138" s="54">
        <f>ROUND(G138*18%,0)</f>
        <v>644243</v>
      </c>
      <c r="I138" s="54">
        <f>G138+H138</f>
        <v>4223368</v>
      </c>
      <c r="J138" s="54">
        <f>ROUND(G138*$J$12,0)</f>
        <v>71583</v>
      </c>
      <c r="K138" s="54">
        <f>G138*5%</f>
        <v>178956.25</v>
      </c>
      <c r="L138" s="54">
        <v>0</v>
      </c>
      <c r="M138" s="54">
        <f>H138</f>
        <v>644243</v>
      </c>
      <c r="N138" s="54">
        <f>G138*12%</f>
        <v>429495</v>
      </c>
      <c r="O138" s="54">
        <f>ROUND(I138-SUM(J138:N138),)</f>
        <v>2899091</v>
      </c>
      <c r="P138" s="8"/>
      <c r="Q138" s="53">
        <v>3767500</v>
      </c>
      <c r="R138" s="54">
        <v>1500000</v>
      </c>
      <c r="S138" s="53">
        <f>R138*2%</f>
        <v>30000</v>
      </c>
      <c r="T138" s="53">
        <f>Q139-SUM(R138:R140)</f>
        <v>2267500</v>
      </c>
      <c r="U138" s="54">
        <v>1470000</v>
      </c>
      <c r="V138" s="18" t="s">
        <v>151</v>
      </c>
      <c r="W138" s="54"/>
    </row>
    <row r="139" spans="1:65" ht="20.100000000000001" customHeight="1" x14ac:dyDescent="0.25">
      <c r="A139" s="17"/>
      <c r="B139" s="54"/>
      <c r="C139" s="54"/>
      <c r="D139" s="54">
        <v>81</v>
      </c>
      <c r="E139" s="54">
        <f>M138</f>
        <v>644243</v>
      </c>
      <c r="F139" s="54"/>
      <c r="G139" s="54"/>
      <c r="H139" s="54"/>
      <c r="I139" s="54"/>
      <c r="J139" s="55"/>
      <c r="K139" s="55"/>
      <c r="L139" s="55"/>
      <c r="M139" s="54"/>
      <c r="N139" s="54"/>
      <c r="O139" s="54">
        <f>E139</f>
        <v>644243</v>
      </c>
      <c r="P139" s="8"/>
      <c r="Q139" s="53">
        <f>Q138*100%</f>
        <v>3767500</v>
      </c>
      <c r="R139" s="54"/>
      <c r="S139" s="53"/>
      <c r="T139" s="53"/>
      <c r="U139" s="54"/>
      <c r="V139" s="22"/>
      <c r="W139" s="54"/>
    </row>
    <row r="140" spans="1:65" ht="20.100000000000001" customHeight="1" x14ac:dyDescent="0.25">
      <c r="A140" s="17"/>
      <c r="B140" s="54"/>
      <c r="C140" s="54"/>
      <c r="D140" s="54"/>
      <c r="E140" s="54"/>
      <c r="F140" s="54"/>
      <c r="G140" s="54"/>
      <c r="H140" s="54"/>
      <c r="I140" s="54"/>
      <c r="J140" s="55"/>
      <c r="K140" s="55"/>
      <c r="L140" s="55"/>
      <c r="M140" s="54"/>
      <c r="N140" s="54"/>
      <c r="O140" s="54"/>
      <c r="P140" s="8"/>
      <c r="Q140" s="53"/>
      <c r="R140" s="54"/>
      <c r="S140" s="53"/>
      <c r="T140" s="53"/>
      <c r="U140" s="54"/>
      <c r="V140" s="22"/>
      <c r="W140" s="54">
        <f>SUM(O138:O140)-SUM(U138:U140)</f>
        <v>2073334</v>
      </c>
    </row>
    <row r="141" spans="1:65" s="16" customFormat="1" ht="20.100000000000001" customHeight="1" x14ac:dyDescent="0.25">
      <c r="A141" s="14">
        <v>64714</v>
      </c>
      <c r="B141" s="50"/>
      <c r="C141" s="50"/>
      <c r="D141" s="50"/>
      <c r="E141" s="50"/>
      <c r="F141" s="50"/>
      <c r="G141" s="50"/>
      <c r="H141" s="50"/>
      <c r="I141" s="50"/>
      <c r="J141" s="51"/>
      <c r="K141" s="51"/>
      <c r="L141" s="51"/>
      <c r="M141" s="50"/>
      <c r="N141" s="50"/>
      <c r="O141" s="50"/>
      <c r="P141" s="6">
        <v>64714</v>
      </c>
      <c r="Q141" s="52"/>
      <c r="R141" s="50"/>
      <c r="S141" s="52"/>
      <c r="T141" s="52"/>
      <c r="U141" s="50"/>
      <c r="V141" s="24"/>
      <c r="W141" s="50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</row>
    <row r="142" spans="1:65" ht="20.100000000000001" customHeight="1" x14ac:dyDescent="0.25">
      <c r="A142" s="17"/>
      <c r="B142" s="54" t="s">
        <v>177</v>
      </c>
      <c r="C142" s="58">
        <v>45503</v>
      </c>
      <c r="D142" s="54">
        <v>65</v>
      </c>
      <c r="E142" s="54">
        <v>1706250</v>
      </c>
      <c r="F142" s="54"/>
      <c r="G142" s="54">
        <f>E142-F142</f>
        <v>1706250</v>
      </c>
      <c r="H142" s="54">
        <f>ROUND(G142*18%,0)</f>
        <v>307125</v>
      </c>
      <c r="I142" s="54">
        <f>G142+H142</f>
        <v>2013375</v>
      </c>
      <c r="J142" s="54">
        <f>ROUND(G142*$J$12,0)</f>
        <v>34125</v>
      </c>
      <c r="K142" s="54">
        <f>G142*5%</f>
        <v>85312.5</v>
      </c>
      <c r="L142" s="54">
        <v>0</v>
      </c>
      <c r="M142" s="54">
        <f>H142</f>
        <v>307125</v>
      </c>
      <c r="N142" s="54">
        <f>G142*12%</f>
        <v>204750</v>
      </c>
      <c r="O142" s="54">
        <f>ROUND(I142-SUM(J142:N142),)</f>
        <v>1382063</v>
      </c>
      <c r="P142" s="8"/>
      <c r="Q142" s="53">
        <v>1706250</v>
      </c>
      <c r="R142" s="54">
        <v>500000</v>
      </c>
      <c r="S142" s="53">
        <f>R142*2%</f>
        <v>10000</v>
      </c>
      <c r="T142" s="53">
        <f>Q143-SUM(R142:R144)</f>
        <v>206250</v>
      </c>
      <c r="U142" s="54">
        <f>R142-S142</f>
        <v>490000</v>
      </c>
      <c r="V142" s="18" t="s">
        <v>253</v>
      </c>
      <c r="W142" s="54"/>
    </row>
    <row r="143" spans="1:65" ht="20.100000000000001" customHeight="1" x14ac:dyDescent="0.25">
      <c r="A143" s="17"/>
      <c r="B143" s="54" t="s">
        <v>244</v>
      </c>
      <c r="C143" s="58">
        <v>45504</v>
      </c>
      <c r="D143" s="54">
        <v>65</v>
      </c>
      <c r="E143" s="54">
        <f>M142</f>
        <v>307125</v>
      </c>
      <c r="F143" s="54"/>
      <c r="G143" s="54"/>
      <c r="H143" s="54"/>
      <c r="I143" s="54"/>
      <c r="J143" s="55"/>
      <c r="K143" s="55"/>
      <c r="L143" s="55"/>
      <c r="M143" s="54"/>
      <c r="N143" s="54"/>
      <c r="O143" s="54">
        <f>E143</f>
        <v>307125</v>
      </c>
      <c r="P143" s="8"/>
      <c r="Q143" s="53">
        <f>Q142*100%</f>
        <v>1706250</v>
      </c>
      <c r="R143" s="54">
        <v>1000000</v>
      </c>
      <c r="S143" s="53"/>
      <c r="T143" s="53"/>
      <c r="U143" s="54">
        <v>980000</v>
      </c>
      <c r="V143" s="18" t="s">
        <v>307</v>
      </c>
      <c r="W143" s="54"/>
    </row>
    <row r="144" spans="1:65" ht="20.100000000000001" customHeight="1" x14ac:dyDescent="0.25">
      <c r="A144" s="17"/>
      <c r="B144" s="54"/>
      <c r="C144" s="54"/>
      <c r="D144" s="54"/>
      <c r="E144" s="54"/>
      <c r="F144" s="54"/>
      <c r="G144" s="54"/>
      <c r="H144" s="54"/>
      <c r="I144" s="54"/>
      <c r="J144" s="55"/>
      <c r="K144" s="55"/>
      <c r="L144" s="55"/>
      <c r="M144" s="54"/>
      <c r="N144" s="54"/>
      <c r="O144" s="54"/>
      <c r="P144" s="8"/>
      <c r="Q144" s="53"/>
      <c r="R144" s="54"/>
      <c r="S144" s="53"/>
      <c r="T144" s="53"/>
      <c r="U144" s="54"/>
      <c r="V144" s="22"/>
      <c r="W144" s="54">
        <f>SUM(O142:O144)-SUM(U142:U144)</f>
        <v>219188</v>
      </c>
    </row>
    <row r="145" spans="1:65" s="16" customFormat="1" ht="20.100000000000001" customHeight="1" x14ac:dyDescent="0.25">
      <c r="A145" s="14">
        <v>64713</v>
      </c>
      <c r="B145" s="50"/>
      <c r="C145" s="50"/>
      <c r="D145" s="50"/>
      <c r="E145" s="50"/>
      <c r="F145" s="50"/>
      <c r="G145" s="50"/>
      <c r="H145" s="50"/>
      <c r="I145" s="50"/>
      <c r="J145" s="51"/>
      <c r="K145" s="51"/>
      <c r="L145" s="51"/>
      <c r="M145" s="50"/>
      <c r="N145" s="50"/>
      <c r="O145" s="50"/>
      <c r="P145" s="6">
        <v>64713</v>
      </c>
      <c r="Q145" s="52"/>
      <c r="R145" s="50"/>
      <c r="S145" s="52"/>
      <c r="T145" s="52"/>
      <c r="U145" s="50"/>
      <c r="V145" s="24"/>
      <c r="W145" s="50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</row>
    <row r="146" spans="1:65" ht="20.100000000000001" customHeight="1" x14ac:dyDescent="0.25">
      <c r="A146" s="17"/>
      <c r="B146" s="54" t="s">
        <v>176</v>
      </c>
      <c r="C146" s="58">
        <v>45565</v>
      </c>
      <c r="D146" s="54">
        <v>104</v>
      </c>
      <c r="E146" s="54">
        <v>3767500</v>
      </c>
      <c r="F146" s="54"/>
      <c r="G146" s="54">
        <f>E146-F146</f>
        <v>3767500</v>
      </c>
      <c r="H146" s="54">
        <f>ROUND(G146*18%,0)</f>
        <v>678150</v>
      </c>
      <c r="I146" s="54">
        <f>G146+H146</f>
        <v>4445650</v>
      </c>
      <c r="J146" s="54">
        <f>ROUND(G146*$J$12,0)</f>
        <v>75350</v>
      </c>
      <c r="K146" s="54">
        <f>G146*5%</f>
        <v>188375</v>
      </c>
      <c r="L146" s="54">
        <v>0</v>
      </c>
      <c r="M146" s="54">
        <f>H146</f>
        <v>678150</v>
      </c>
      <c r="N146" s="54">
        <f>G146*12%</f>
        <v>452100</v>
      </c>
      <c r="O146" s="54">
        <f>ROUND(I146-SUM(J146:N146),)</f>
        <v>3051675</v>
      </c>
      <c r="P146" s="8"/>
      <c r="Q146" s="53">
        <v>3767500</v>
      </c>
      <c r="R146" s="54">
        <v>500000</v>
      </c>
      <c r="S146" s="53">
        <f>R146*2%</f>
        <v>10000</v>
      </c>
      <c r="T146" s="53">
        <f>Q147-SUM(R146:R148)</f>
        <v>2267500</v>
      </c>
      <c r="U146" s="54">
        <v>490000</v>
      </c>
      <c r="V146" s="22" t="s">
        <v>289</v>
      </c>
      <c r="W146" s="54"/>
    </row>
    <row r="147" spans="1:65" ht="20.100000000000001" customHeight="1" x14ac:dyDescent="0.25">
      <c r="A147" s="17"/>
      <c r="B147" s="54" t="s">
        <v>244</v>
      </c>
      <c r="C147" s="58"/>
      <c r="D147" s="54">
        <v>104</v>
      </c>
      <c r="E147" s="54">
        <f>M146</f>
        <v>678150</v>
      </c>
      <c r="F147" s="54"/>
      <c r="G147" s="54"/>
      <c r="H147" s="54"/>
      <c r="I147" s="54"/>
      <c r="J147" s="55"/>
      <c r="K147" s="55"/>
      <c r="L147" s="55"/>
      <c r="M147" s="54"/>
      <c r="N147" s="54"/>
      <c r="O147" s="54">
        <f>E147</f>
        <v>678150</v>
      </c>
      <c r="P147" s="8"/>
      <c r="Q147" s="53">
        <f>Q146*100%</f>
        <v>3767500</v>
      </c>
      <c r="R147" s="54">
        <v>1000000</v>
      </c>
      <c r="S147" s="53"/>
      <c r="T147" s="53"/>
      <c r="U147" s="54">
        <v>1000000</v>
      </c>
      <c r="V147" s="22" t="s">
        <v>303</v>
      </c>
      <c r="W147" s="54"/>
    </row>
    <row r="148" spans="1:65" ht="20.100000000000001" customHeight="1" x14ac:dyDescent="0.25">
      <c r="A148" s="17"/>
      <c r="B148" s="54"/>
      <c r="C148" s="54"/>
      <c r="D148" s="54"/>
      <c r="E148" s="54"/>
      <c r="F148" s="54"/>
      <c r="G148" s="54"/>
      <c r="H148" s="54"/>
      <c r="I148" s="54"/>
      <c r="J148" s="55"/>
      <c r="K148" s="55"/>
      <c r="L148" s="55"/>
      <c r="M148" s="54"/>
      <c r="N148" s="54"/>
      <c r="O148" s="54"/>
      <c r="P148" s="8"/>
      <c r="Q148" s="53"/>
      <c r="R148" s="54"/>
      <c r="S148" s="53"/>
      <c r="T148" s="53"/>
      <c r="U148" s="54"/>
      <c r="V148" s="22"/>
      <c r="W148" s="54">
        <f>SUM(O146:O148)-SUM(U146:U148)</f>
        <v>2239825</v>
      </c>
    </row>
    <row r="149" spans="1:65" s="16" customFormat="1" ht="20.100000000000001" customHeight="1" x14ac:dyDescent="0.25">
      <c r="A149" s="14">
        <v>64576</v>
      </c>
      <c r="B149" s="50"/>
      <c r="C149" s="50"/>
      <c r="D149" s="50"/>
      <c r="E149" s="50"/>
      <c r="F149" s="50"/>
      <c r="G149" s="50"/>
      <c r="H149" s="50"/>
      <c r="I149" s="50"/>
      <c r="J149" s="51"/>
      <c r="K149" s="51"/>
      <c r="L149" s="51"/>
      <c r="M149" s="50"/>
      <c r="N149" s="50"/>
      <c r="O149" s="50"/>
      <c r="P149" s="6">
        <f>A149</f>
        <v>64576</v>
      </c>
      <c r="Q149" s="50"/>
      <c r="R149" s="52"/>
      <c r="S149" s="52"/>
      <c r="T149" s="15"/>
      <c r="U149" s="50"/>
      <c r="V149" s="50"/>
      <c r="W149" s="50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</row>
    <row r="150" spans="1:65" ht="20.100000000000001" customHeight="1" x14ac:dyDescent="0.25">
      <c r="A150" s="13"/>
      <c r="B150" s="45" t="s">
        <v>268</v>
      </c>
      <c r="C150" s="45"/>
      <c r="D150" s="45"/>
      <c r="E150" s="45"/>
      <c r="F150" s="45"/>
      <c r="G150" s="45"/>
      <c r="H150" s="45"/>
      <c r="I150" s="45"/>
      <c r="J150" s="46"/>
      <c r="K150" s="46"/>
      <c r="L150" s="46"/>
      <c r="M150" s="45"/>
      <c r="N150" s="45"/>
      <c r="O150" s="45"/>
      <c r="P150" s="7"/>
      <c r="Q150" s="45">
        <v>1960000</v>
      </c>
      <c r="R150" s="48">
        <v>2500000</v>
      </c>
      <c r="S150" s="53">
        <f>R150*2%</f>
        <v>50000</v>
      </c>
      <c r="T150" s="53">
        <f>Q151-SUM(R150:R151)</f>
        <v>-3922000</v>
      </c>
      <c r="U150" s="45">
        <v>2450000</v>
      </c>
      <c r="V150" s="45" t="s">
        <v>266</v>
      </c>
      <c r="W150" s="45"/>
    </row>
    <row r="151" spans="1:65" ht="20.100000000000001" customHeight="1" x14ac:dyDescent="0.25">
      <c r="A151" s="13"/>
      <c r="B151" s="45"/>
      <c r="C151" s="45"/>
      <c r="D151" s="45"/>
      <c r="E151" s="45"/>
      <c r="F151" s="45"/>
      <c r="G151" s="45"/>
      <c r="H151" s="45"/>
      <c r="I151" s="45"/>
      <c r="J151" s="46"/>
      <c r="K151" s="46"/>
      <c r="L151" s="46"/>
      <c r="M151" s="45"/>
      <c r="N151" s="45"/>
      <c r="O151" s="45"/>
      <c r="P151" s="7"/>
      <c r="Q151" s="45">
        <f>Q150*55%</f>
        <v>1078000</v>
      </c>
      <c r="R151" s="48">
        <v>2500000</v>
      </c>
      <c r="S151" s="53">
        <f>R151*2%</f>
        <v>50000</v>
      </c>
      <c r="T151" s="48"/>
      <c r="U151" s="45">
        <v>2450000</v>
      </c>
      <c r="V151" s="45" t="s">
        <v>267</v>
      </c>
      <c r="W151" s="54">
        <f>SUM(O149:O151)-SUM(U150:U151)</f>
        <v>-4900000</v>
      </c>
    </row>
    <row r="152" spans="1:65" ht="20.100000000000001" customHeight="1" x14ac:dyDescent="0.25">
      <c r="A152" s="14">
        <v>63991</v>
      </c>
      <c r="B152" s="59"/>
      <c r="C152" s="60"/>
      <c r="D152" s="14"/>
      <c r="E152" s="50"/>
      <c r="F152" s="50"/>
      <c r="G152" s="50"/>
      <c r="H152" s="50"/>
      <c r="I152" s="50"/>
      <c r="J152" s="50"/>
      <c r="K152" s="50"/>
      <c r="L152" s="50"/>
      <c r="M152" s="50"/>
      <c r="N152" s="50"/>
      <c r="O152" s="50"/>
      <c r="P152" s="6">
        <v>63991</v>
      </c>
      <c r="Q152" s="52"/>
      <c r="R152" s="50"/>
      <c r="S152" s="52"/>
      <c r="T152" s="52"/>
      <c r="U152" s="50"/>
      <c r="V152" s="14"/>
      <c r="W152" s="50"/>
    </row>
    <row r="153" spans="1:65" ht="20.100000000000001" customHeight="1" x14ac:dyDescent="0.25">
      <c r="A153" s="17"/>
      <c r="B153" s="61" t="s">
        <v>175</v>
      </c>
      <c r="C153" s="58">
        <v>45560</v>
      </c>
      <c r="D153" s="54">
        <v>102</v>
      </c>
      <c r="E153" s="54">
        <v>1706250</v>
      </c>
      <c r="F153" s="54"/>
      <c r="G153" s="54">
        <f>E153-F153</f>
        <v>1706250</v>
      </c>
      <c r="H153" s="54">
        <f>ROUND(G153*18%,0)</f>
        <v>307125</v>
      </c>
      <c r="I153" s="54">
        <f>G153+H153</f>
        <v>2013375</v>
      </c>
      <c r="J153" s="54">
        <f>ROUND(G153*$J$12,0)</f>
        <v>34125</v>
      </c>
      <c r="K153" s="54">
        <f>G153*5%</f>
        <v>85312.5</v>
      </c>
      <c r="L153" s="54">
        <v>0</v>
      </c>
      <c r="M153" s="54">
        <f>H153</f>
        <v>307125</v>
      </c>
      <c r="N153" s="54">
        <f>G153*12%</f>
        <v>204750</v>
      </c>
      <c r="O153" s="54">
        <f>ROUND(I153-SUM(J153:N153),)</f>
        <v>1382063</v>
      </c>
      <c r="P153" s="8"/>
      <c r="Q153" s="53">
        <v>1706250</v>
      </c>
      <c r="R153" s="54">
        <v>1500000</v>
      </c>
      <c r="S153" s="53">
        <f>R153*2%</f>
        <v>30000</v>
      </c>
      <c r="T153" s="53">
        <f>Q154-SUM(R153:R155)</f>
        <v>206250</v>
      </c>
      <c r="U153" s="54">
        <v>1470000</v>
      </c>
      <c r="V153" s="18" t="s">
        <v>143</v>
      </c>
      <c r="W153" s="54"/>
    </row>
    <row r="154" spans="1:65" ht="20.100000000000001" customHeight="1" x14ac:dyDescent="0.25">
      <c r="A154" s="17"/>
      <c r="B154" s="54" t="s">
        <v>244</v>
      </c>
      <c r="C154" s="58"/>
      <c r="D154" s="54">
        <v>102</v>
      </c>
      <c r="E154" s="54">
        <f>M153</f>
        <v>307125</v>
      </c>
      <c r="F154" s="54"/>
      <c r="G154" s="54"/>
      <c r="H154" s="54"/>
      <c r="I154" s="54"/>
      <c r="J154" s="55"/>
      <c r="K154" s="55"/>
      <c r="L154" s="55"/>
      <c r="M154" s="54"/>
      <c r="N154" s="54"/>
      <c r="O154" s="54">
        <f>E154</f>
        <v>307125</v>
      </c>
      <c r="P154" s="8"/>
      <c r="Q154" s="53">
        <f>Q153*100%</f>
        <v>1706250</v>
      </c>
      <c r="R154" s="54"/>
      <c r="S154" s="53"/>
      <c r="T154" s="53"/>
      <c r="U154" s="54"/>
      <c r="V154" s="22"/>
      <c r="W154" s="54"/>
    </row>
    <row r="155" spans="1:65" ht="20.100000000000001" customHeight="1" x14ac:dyDescent="0.25">
      <c r="A155" s="17"/>
      <c r="B155" s="61"/>
      <c r="C155" s="57"/>
      <c r="D155" s="17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8"/>
      <c r="Q155" s="53"/>
      <c r="R155" s="54"/>
      <c r="S155" s="53"/>
      <c r="T155" s="53"/>
      <c r="U155" s="54"/>
      <c r="V155" s="22"/>
      <c r="W155" s="54">
        <f>SUM(O153:O155)-SUM(U153:U155)</f>
        <v>219188</v>
      </c>
    </row>
    <row r="156" spans="1:65" ht="20.100000000000001" customHeight="1" x14ac:dyDescent="0.25">
      <c r="A156" s="14">
        <v>63990</v>
      </c>
      <c r="B156" s="50"/>
      <c r="C156" s="50"/>
      <c r="D156" s="50"/>
      <c r="E156" s="50"/>
      <c r="F156" s="50"/>
      <c r="G156" s="50"/>
      <c r="H156" s="50"/>
      <c r="I156" s="50"/>
      <c r="J156" s="51"/>
      <c r="K156" s="51"/>
      <c r="L156" s="51"/>
      <c r="M156" s="50"/>
      <c r="N156" s="50"/>
      <c r="O156" s="50"/>
      <c r="P156" s="6">
        <v>63990</v>
      </c>
      <c r="Q156" s="52"/>
      <c r="R156" s="50"/>
      <c r="S156" s="52"/>
      <c r="T156" s="52"/>
      <c r="U156" s="50"/>
      <c r="V156" s="14"/>
      <c r="W156" s="50"/>
    </row>
    <row r="157" spans="1:65" ht="20.100000000000001" customHeight="1" x14ac:dyDescent="0.25">
      <c r="A157" s="17"/>
      <c r="B157" s="54" t="s">
        <v>174</v>
      </c>
      <c r="C157" s="58">
        <v>45604</v>
      </c>
      <c r="D157" s="54">
        <v>76</v>
      </c>
      <c r="E157" s="54">
        <v>1960000</v>
      </c>
      <c r="F157" s="54"/>
      <c r="G157" s="54">
        <f>E157-F157</f>
        <v>1960000</v>
      </c>
      <c r="H157" s="54">
        <f>ROUND(G157*18%,0)</f>
        <v>352800</v>
      </c>
      <c r="I157" s="54">
        <f>G157+H157</f>
        <v>2312800</v>
      </c>
      <c r="J157" s="54">
        <f>ROUND(G157*$J$12,0)</f>
        <v>39200</v>
      </c>
      <c r="K157" s="54">
        <f>G157*5%</f>
        <v>98000</v>
      </c>
      <c r="L157" s="54">
        <v>0</v>
      </c>
      <c r="M157" s="54">
        <f>H157</f>
        <v>352800</v>
      </c>
      <c r="N157" s="54">
        <f>G157*12%</f>
        <v>235200</v>
      </c>
      <c r="O157" s="54">
        <f>ROUND(I157-SUM(J157:N157),)</f>
        <v>1587600</v>
      </c>
      <c r="P157" s="8"/>
      <c r="Q157" s="53">
        <v>1960000</v>
      </c>
      <c r="R157" s="54">
        <v>1500000</v>
      </c>
      <c r="S157" s="53">
        <f>R157*2%</f>
        <v>30000</v>
      </c>
      <c r="T157" s="53">
        <f>Q158-SUM(R157:R159)</f>
        <v>460000</v>
      </c>
      <c r="U157" s="54">
        <v>1470000</v>
      </c>
      <c r="V157" s="18" t="s">
        <v>144</v>
      </c>
      <c r="W157" s="54"/>
    </row>
    <row r="158" spans="1:65" ht="20.100000000000001" customHeight="1" x14ac:dyDescent="0.25">
      <c r="A158" s="17"/>
      <c r="B158" s="54"/>
      <c r="C158" s="54"/>
      <c r="D158" s="54">
        <v>76</v>
      </c>
      <c r="E158" s="54">
        <f>M157</f>
        <v>352800</v>
      </c>
      <c r="F158" s="54"/>
      <c r="G158" s="54"/>
      <c r="H158" s="54"/>
      <c r="I158" s="54"/>
      <c r="J158" s="55"/>
      <c r="K158" s="55"/>
      <c r="L158" s="55"/>
      <c r="M158" s="54"/>
      <c r="N158" s="54"/>
      <c r="O158" s="54">
        <f>E158</f>
        <v>352800</v>
      </c>
      <c r="P158" s="8"/>
      <c r="Q158" s="53">
        <f>Q157*100%</f>
        <v>1960000</v>
      </c>
      <c r="R158" s="54"/>
      <c r="S158" s="53"/>
      <c r="T158" s="53"/>
      <c r="U158" s="54"/>
      <c r="V158" s="22"/>
      <c r="W158" s="54"/>
    </row>
    <row r="159" spans="1:65" ht="20.100000000000001" customHeight="1" x14ac:dyDescent="0.25">
      <c r="A159" s="17"/>
      <c r="B159" s="54"/>
      <c r="C159" s="54"/>
      <c r="D159" s="54"/>
      <c r="E159" s="54"/>
      <c r="F159" s="54"/>
      <c r="G159" s="54"/>
      <c r="H159" s="54"/>
      <c r="I159" s="54"/>
      <c r="J159" s="55"/>
      <c r="K159" s="55"/>
      <c r="L159" s="55"/>
      <c r="M159" s="54"/>
      <c r="N159" s="54"/>
      <c r="O159" s="54"/>
      <c r="P159" s="8"/>
      <c r="Q159" s="53"/>
      <c r="R159" s="54"/>
      <c r="S159" s="53"/>
      <c r="T159" s="53"/>
      <c r="U159" s="54"/>
      <c r="V159" s="22"/>
      <c r="W159" s="54">
        <f>SUM(O157:O159)-SUM(U157:U159)</f>
        <v>470400</v>
      </c>
    </row>
    <row r="160" spans="1:65" s="16" customFormat="1" ht="20.100000000000001" customHeight="1" x14ac:dyDescent="0.25">
      <c r="A160" s="14">
        <v>63989</v>
      </c>
      <c r="B160" s="50"/>
      <c r="C160" s="50"/>
      <c r="D160" s="50"/>
      <c r="E160" s="50"/>
      <c r="F160" s="50"/>
      <c r="G160" s="50"/>
      <c r="H160" s="50"/>
      <c r="I160" s="50"/>
      <c r="J160" s="51"/>
      <c r="K160" s="51"/>
      <c r="L160" s="51"/>
      <c r="M160" s="50"/>
      <c r="N160" s="50"/>
      <c r="O160" s="50"/>
      <c r="P160" s="6">
        <v>63989</v>
      </c>
      <c r="Q160" s="52"/>
      <c r="R160" s="50"/>
      <c r="S160" s="52"/>
      <c r="T160" s="52"/>
      <c r="U160" s="50"/>
      <c r="V160" s="24"/>
      <c r="W160" s="50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</row>
    <row r="161" spans="1:65" ht="20.100000000000001" customHeight="1" x14ac:dyDescent="0.25">
      <c r="A161" s="17"/>
      <c r="B161" s="54" t="s">
        <v>173</v>
      </c>
      <c r="C161" s="58">
        <v>45491</v>
      </c>
      <c r="D161" s="54">
        <v>57</v>
      </c>
      <c r="E161" s="54">
        <v>2250000</v>
      </c>
      <c r="F161" s="54"/>
      <c r="G161" s="54">
        <f>E161-F161</f>
        <v>2250000</v>
      </c>
      <c r="H161" s="54">
        <f>ROUND(G161*18%,0)</f>
        <v>405000</v>
      </c>
      <c r="I161" s="54">
        <f>G161+H161</f>
        <v>2655000</v>
      </c>
      <c r="J161" s="54">
        <f>ROUND(G161*$J$12,0)</f>
        <v>45000</v>
      </c>
      <c r="K161" s="54">
        <f>G161*5%</f>
        <v>112500</v>
      </c>
      <c r="L161" s="54">
        <v>0</v>
      </c>
      <c r="M161" s="54">
        <f>H161</f>
        <v>405000</v>
      </c>
      <c r="N161" s="54">
        <f>G161*12%</f>
        <v>270000</v>
      </c>
      <c r="O161" s="54">
        <f>ROUND(I161-SUM(J161:N161),)</f>
        <v>1822500</v>
      </c>
      <c r="P161" s="8"/>
      <c r="Q161" s="53">
        <v>2250000</v>
      </c>
      <c r="R161" s="54">
        <v>2000000</v>
      </c>
      <c r="S161" s="53">
        <f>R161*2%</f>
        <v>40000</v>
      </c>
      <c r="T161" s="53">
        <f>Q162-SUM(R161:R163)</f>
        <v>250000</v>
      </c>
      <c r="U161" s="54">
        <v>1960000</v>
      </c>
      <c r="V161" s="18" t="s">
        <v>145</v>
      </c>
      <c r="W161" s="54"/>
    </row>
    <row r="162" spans="1:65" ht="20.100000000000001" customHeight="1" x14ac:dyDescent="0.25">
      <c r="A162" s="17"/>
      <c r="B162" s="54" t="s">
        <v>244</v>
      </c>
      <c r="C162" s="54"/>
      <c r="D162" s="54">
        <v>57</v>
      </c>
      <c r="E162" s="54">
        <f>M161</f>
        <v>405000</v>
      </c>
      <c r="F162" s="54"/>
      <c r="G162" s="54"/>
      <c r="H162" s="54"/>
      <c r="I162" s="54"/>
      <c r="J162" s="55"/>
      <c r="K162" s="55"/>
      <c r="L162" s="55"/>
      <c r="M162" s="54"/>
      <c r="N162" s="54"/>
      <c r="O162" s="54">
        <f>E162</f>
        <v>405000</v>
      </c>
      <c r="P162" s="8"/>
      <c r="Q162" s="53">
        <f>Q161*100%</f>
        <v>2250000</v>
      </c>
      <c r="R162" s="54"/>
      <c r="S162" s="53"/>
      <c r="T162" s="53"/>
      <c r="U162" s="54"/>
      <c r="V162" s="22"/>
      <c r="W162" s="54"/>
    </row>
    <row r="163" spans="1:65" ht="20.100000000000001" customHeight="1" x14ac:dyDescent="0.25">
      <c r="A163" s="17"/>
      <c r="B163" s="54"/>
      <c r="C163" s="54"/>
      <c r="D163" s="54"/>
      <c r="E163" s="54"/>
      <c r="F163" s="54"/>
      <c r="G163" s="54"/>
      <c r="H163" s="54"/>
      <c r="I163" s="54"/>
      <c r="J163" s="55"/>
      <c r="K163" s="55"/>
      <c r="L163" s="55"/>
      <c r="M163" s="54"/>
      <c r="N163" s="54"/>
      <c r="O163" s="54"/>
      <c r="P163" s="8"/>
      <c r="Q163" s="53"/>
      <c r="R163" s="54"/>
      <c r="S163" s="53"/>
      <c r="T163" s="53"/>
      <c r="U163" s="54"/>
      <c r="V163" s="22"/>
      <c r="W163" s="54">
        <f>SUM(O161:O163)-SUM(U161:U163)</f>
        <v>267500</v>
      </c>
    </row>
    <row r="164" spans="1:65" s="16" customFormat="1" ht="20.100000000000001" customHeight="1" x14ac:dyDescent="0.25">
      <c r="A164" s="14">
        <v>63987</v>
      </c>
      <c r="B164" s="50"/>
      <c r="C164" s="50"/>
      <c r="D164" s="50"/>
      <c r="E164" s="50"/>
      <c r="F164" s="50"/>
      <c r="G164" s="50"/>
      <c r="H164" s="50"/>
      <c r="I164" s="50"/>
      <c r="J164" s="51"/>
      <c r="K164" s="51"/>
      <c r="L164" s="51"/>
      <c r="M164" s="50"/>
      <c r="N164" s="50"/>
      <c r="O164" s="50"/>
      <c r="P164" s="6">
        <v>63987</v>
      </c>
      <c r="Q164" s="52"/>
      <c r="R164" s="50"/>
      <c r="S164" s="52"/>
      <c r="T164" s="52"/>
      <c r="U164" s="50"/>
      <c r="V164" s="24"/>
      <c r="W164" s="50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</row>
    <row r="165" spans="1:65" ht="20.100000000000001" customHeight="1" x14ac:dyDescent="0.25">
      <c r="A165" s="17"/>
      <c r="B165" s="54" t="s">
        <v>172</v>
      </c>
      <c r="C165" s="58">
        <v>45573</v>
      </c>
      <c r="D165" s="54">
        <v>109</v>
      </c>
      <c r="E165" s="54">
        <v>4095000</v>
      </c>
      <c r="F165" s="54"/>
      <c r="G165" s="54">
        <f>E165-F165</f>
        <v>4095000</v>
      </c>
      <c r="H165" s="54">
        <f>ROUND(G165*18%,0)</f>
        <v>737100</v>
      </c>
      <c r="I165" s="54">
        <f>G165+H165</f>
        <v>4832100</v>
      </c>
      <c r="J165" s="54">
        <f>ROUND(G165*$J$12,0)</f>
        <v>81900</v>
      </c>
      <c r="K165" s="54">
        <f>G165*5%</f>
        <v>204750</v>
      </c>
      <c r="L165" s="54">
        <v>0</v>
      </c>
      <c r="M165" s="54">
        <f>H165</f>
        <v>737100</v>
      </c>
      <c r="N165" s="54">
        <f>G165*12%</f>
        <v>491400</v>
      </c>
      <c r="O165" s="54">
        <f>ROUND(I165-SUM(J165:N165),)</f>
        <v>3316950</v>
      </c>
      <c r="P165" s="8"/>
      <c r="Q165" s="53">
        <v>4095000</v>
      </c>
      <c r="R165" s="54">
        <v>2500000</v>
      </c>
      <c r="S165" s="53">
        <f>R165*2%</f>
        <v>50000</v>
      </c>
      <c r="T165" s="53">
        <f>Q166-SUM(R165:R167)</f>
        <v>1095000</v>
      </c>
      <c r="U165" s="54">
        <v>2450000</v>
      </c>
      <c r="V165" s="18" t="s">
        <v>146</v>
      </c>
      <c r="W165" s="54"/>
    </row>
    <row r="166" spans="1:65" ht="20.100000000000001" customHeight="1" x14ac:dyDescent="0.25">
      <c r="A166" s="17"/>
      <c r="B166" s="54" t="s">
        <v>244</v>
      </c>
      <c r="C166" s="54"/>
      <c r="D166" s="54">
        <v>109</v>
      </c>
      <c r="E166" s="54">
        <f>M165</f>
        <v>737100</v>
      </c>
      <c r="F166" s="54"/>
      <c r="G166" s="54"/>
      <c r="H166" s="54"/>
      <c r="I166" s="54"/>
      <c r="J166" s="55"/>
      <c r="K166" s="55"/>
      <c r="L166" s="55"/>
      <c r="M166" s="54"/>
      <c r="N166" s="54"/>
      <c r="O166" s="54">
        <f>E166</f>
        <v>737100</v>
      </c>
      <c r="P166" s="8"/>
      <c r="Q166" s="53">
        <v>4095000</v>
      </c>
      <c r="R166" s="54">
        <v>500000</v>
      </c>
      <c r="S166" s="53"/>
      <c r="T166" s="53"/>
      <c r="U166" s="54">
        <v>500000</v>
      </c>
      <c r="V166" s="18" t="s">
        <v>298</v>
      </c>
      <c r="W166" s="54"/>
    </row>
    <row r="167" spans="1:65" ht="20.100000000000001" customHeight="1" x14ac:dyDescent="0.25">
      <c r="A167" s="17"/>
      <c r="B167" s="54"/>
      <c r="C167" s="54"/>
      <c r="D167" s="54"/>
      <c r="E167" s="54"/>
      <c r="F167" s="54"/>
      <c r="G167" s="54"/>
      <c r="H167" s="54"/>
      <c r="I167" s="54"/>
      <c r="J167" s="55"/>
      <c r="K167" s="55"/>
      <c r="L167" s="55"/>
      <c r="M167" s="54"/>
      <c r="N167" s="54"/>
      <c r="O167" s="54"/>
      <c r="P167" s="8"/>
      <c r="Q167" s="53"/>
      <c r="R167" s="54"/>
      <c r="S167" s="53"/>
      <c r="T167" s="53"/>
      <c r="U167" s="54"/>
      <c r="V167" s="22"/>
      <c r="W167" s="54">
        <f>SUM(O165:O167)-SUM(U165:U167)</f>
        <v>1104050</v>
      </c>
    </row>
    <row r="168" spans="1:65" s="16" customFormat="1" ht="20.100000000000001" customHeight="1" x14ac:dyDescent="0.25">
      <c r="A168" s="14">
        <v>63986</v>
      </c>
      <c r="B168" s="50"/>
      <c r="C168" s="50"/>
      <c r="D168" s="50"/>
      <c r="E168" s="50"/>
      <c r="F168" s="50"/>
      <c r="G168" s="50"/>
      <c r="H168" s="50"/>
      <c r="I168" s="50"/>
      <c r="J168" s="51"/>
      <c r="K168" s="51"/>
      <c r="L168" s="51"/>
      <c r="M168" s="50"/>
      <c r="N168" s="50"/>
      <c r="O168" s="50"/>
      <c r="P168" s="6">
        <v>63986</v>
      </c>
      <c r="Q168" s="52"/>
      <c r="R168" s="50"/>
      <c r="S168" s="52"/>
      <c r="T168" s="52"/>
      <c r="U168" s="50"/>
      <c r="V168" s="24"/>
      <c r="W168" s="50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</row>
    <row r="169" spans="1:65" ht="20.100000000000001" customHeight="1" x14ac:dyDescent="0.25">
      <c r="A169" s="17"/>
      <c r="B169" s="54" t="s">
        <v>171</v>
      </c>
      <c r="C169" s="58">
        <v>45677</v>
      </c>
      <c r="D169" s="54">
        <v>138</v>
      </c>
      <c r="E169" s="54">
        <v>4095000</v>
      </c>
      <c r="F169" s="54"/>
      <c r="G169" s="54">
        <f>E169-F169</f>
        <v>4095000</v>
      </c>
      <c r="H169" s="54">
        <f>ROUND(G169*18%,0)</f>
        <v>737100</v>
      </c>
      <c r="I169" s="54">
        <f>G169+H169</f>
        <v>4832100</v>
      </c>
      <c r="J169" s="54">
        <f>ROUND(G169*$J$12,0)</f>
        <v>81900</v>
      </c>
      <c r="K169" s="54">
        <f>G169*5%</f>
        <v>204750</v>
      </c>
      <c r="L169" s="54">
        <v>0</v>
      </c>
      <c r="M169" s="54">
        <f>H169</f>
        <v>737100</v>
      </c>
      <c r="N169" s="54">
        <f>G169*12%</f>
        <v>491400</v>
      </c>
      <c r="O169" s="54">
        <f>ROUND(I169-SUM(J169:N169),)</f>
        <v>3316950</v>
      </c>
      <c r="P169" s="8"/>
      <c r="Q169" s="53">
        <v>4095000</v>
      </c>
      <c r="R169" s="54">
        <v>2500000</v>
      </c>
      <c r="S169" s="53">
        <f>R169*2%</f>
        <v>50000</v>
      </c>
      <c r="T169" s="53">
        <f>Q170-SUM(R169:R171)</f>
        <v>595000</v>
      </c>
      <c r="U169" s="54">
        <v>2450000</v>
      </c>
      <c r="V169" s="18" t="s">
        <v>147</v>
      </c>
      <c r="W169" s="54"/>
    </row>
    <row r="170" spans="1:65" ht="20.100000000000001" customHeight="1" x14ac:dyDescent="0.25">
      <c r="A170" s="17"/>
      <c r="B170" s="54"/>
      <c r="C170" s="54"/>
      <c r="D170" s="54">
        <v>138</v>
      </c>
      <c r="E170" s="54">
        <f>M169</f>
        <v>737100</v>
      </c>
      <c r="F170" s="54"/>
      <c r="G170" s="54"/>
      <c r="H170" s="54"/>
      <c r="I170" s="54"/>
      <c r="J170" s="55"/>
      <c r="K170" s="55"/>
      <c r="L170" s="55"/>
      <c r="M170" s="54"/>
      <c r="N170" s="54"/>
      <c r="O170" s="54">
        <f>E170</f>
        <v>737100</v>
      </c>
      <c r="P170" s="8"/>
      <c r="Q170" s="53">
        <v>4095000</v>
      </c>
      <c r="R170" s="54">
        <v>1000000</v>
      </c>
      <c r="S170" s="53"/>
      <c r="T170" s="53"/>
      <c r="U170" s="54">
        <v>1000000</v>
      </c>
      <c r="V170" s="77" t="s">
        <v>308</v>
      </c>
      <c r="W170" s="54"/>
    </row>
    <row r="171" spans="1:65" ht="20.100000000000001" customHeight="1" x14ac:dyDescent="0.25">
      <c r="A171" s="17"/>
      <c r="B171" s="54"/>
      <c r="C171" s="54"/>
      <c r="D171" s="54"/>
      <c r="E171" s="54"/>
      <c r="F171" s="54"/>
      <c r="G171" s="54"/>
      <c r="H171" s="54"/>
      <c r="I171" s="54"/>
      <c r="J171" s="55"/>
      <c r="K171" s="55"/>
      <c r="L171" s="55"/>
      <c r="M171" s="54"/>
      <c r="N171" s="54"/>
      <c r="O171" s="54"/>
      <c r="P171" s="8"/>
      <c r="Q171" s="53"/>
      <c r="R171" s="54"/>
      <c r="S171" s="53"/>
      <c r="T171" s="53"/>
      <c r="U171" s="54"/>
      <c r="V171" s="22"/>
      <c r="W171" s="54">
        <f>SUM(O169:O171)-SUM(U169:U171)</f>
        <v>604050</v>
      </c>
    </row>
    <row r="172" spans="1:65" ht="20.100000000000001" customHeight="1" x14ac:dyDescent="0.25">
      <c r="A172" s="14">
        <v>63521</v>
      </c>
      <c r="B172" s="59"/>
      <c r="C172" s="60"/>
      <c r="D172" s="14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O172" s="50"/>
      <c r="P172" s="6">
        <v>63521</v>
      </c>
      <c r="Q172" s="52"/>
      <c r="R172" s="50"/>
      <c r="S172" s="52"/>
      <c r="T172" s="52"/>
      <c r="U172" s="50"/>
      <c r="V172" s="14"/>
      <c r="W172" s="50"/>
    </row>
    <row r="173" spans="1:65" ht="20.100000000000001" customHeight="1" x14ac:dyDescent="0.25">
      <c r="A173" s="17"/>
      <c r="B173" s="61" t="s">
        <v>169</v>
      </c>
      <c r="C173" s="57">
        <v>45387</v>
      </c>
      <c r="D173" s="17" t="s">
        <v>128</v>
      </c>
      <c r="E173" s="54">
        <v>1372000</v>
      </c>
      <c r="F173" s="54"/>
      <c r="G173" s="54">
        <f>E173-F173</f>
        <v>1372000</v>
      </c>
      <c r="H173" s="54">
        <f>ROUND(G173*18%,0)</f>
        <v>246960</v>
      </c>
      <c r="I173" s="54">
        <f>G173+H173</f>
        <v>1618960</v>
      </c>
      <c r="J173" s="54">
        <f>ROUND(G173*$J$12,0)</f>
        <v>27440</v>
      </c>
      <c r="K173" s="54">
        <f>G173*5%</f>
        <v>68600</v>
      </c>
      <c r="L173" s="54">
        <v>0</v>
      </c>
      <c r="M173" s="54">
        <f>H173</f>
        <v>246960</v>
      </c>
      <c r="N173" s="54">
        <v>235200</v>
      </c>
      <c r="O173" s="54">
        <f>ROUND(I173-SUM(J173:N173),)</f>
        <v>1040760</v>
      </c>
      <c r="P173" s="8"/>
      <c r="Q173" s="53">
        <v>1960000</v>
      </c>
      <c r="R173" s="54">
        <v>1000000</v>
      </c>
      <c r="S173" s="53">
        <f t="shared" ref="S173:S174" si="4">R173*2%</f>
        <v>20000</v>
      </c>
      <c r="T173" s="53">
        <f>Q174-SUM(R173:R175)</f>
        <v>166000</v>
      </c>
      <c r="U173" s="54">
        <v>980000</v>
      </c>
      <c r="V173" s="18" t="s">
        <v>129</v>
      </c>
      <c r="W173" s="54"/>
    </row>
    <row r="174" spans="1:65" ht="20.100000000000001" customHeight="1" x14ac:dyDescent="0.25">
      <c r="A174" s="17"/>
      <c r="B174" s="54" t="s">
        <v>244</v>
      </c>
      <c r="C174" s="54"/>
      <c r="D174" s="54">
        <v>2</v>
      </c>
      <c r="E174" s="54">
        <f>M173</f>
        <v>246960</v>
      </c>
      <c r="F174" s="54"/>
      <c r="G174" s="54"/>
      <c r="H174" s="54"/>
      <c r="I174" s="54"/>
      <c r="J174" s="55"/>
      <c r="K174" s="55"/>
      <c r="L174" s="55"/>
      <c r="M174" s="54"/>
      <c r="N174" s="54"/>
      <c r="O174" s="54">
        <f>E174</f>
        <v>246960</v>
      </c>
      <c r="P174" s="8"/>
      <c r="Q174" s="53">
        <f>Q173*85%</f>
        <v>1666000</v>
      </c>
      <c r="R174" s="54">
        <v>500000</v>
      </c>
      <c r="S174" s="53">
        <f t="shared" si="4"/>
        <v>10000</v>
      </c>
      <c r="T174" s="53"/>
      <c r="U174" s="54">
        <v>490000</v>
      </c>
      <c r="V174" s="18" t="s">
        <v>132</v>
      </c>
      <c r="W174" s="54"/>
    </row>
    <row r="175" spans="1:65" ht="20.100000000000001" customHeight="1" x14ac:dyDescent="0.25">
      <c r="A175" s="17"/>
      <c r="B175" s="54"/>
      <c r="C175" s="54"/>
      <c r="D175" s="54"/>
      <c r="E175" s="54"/>
      <c r="F175" s="54"/>
      <c r="G175" s="54"/>
      <c r="H175" s="54"/>
      <c r="I175" s="54"/>
      <c r="J175" s="55"/>
      <c r="K175" s="55"/>
      <c r="L175" s="55"/>
      <c r="M175" s="54"/>
      <c r="N175" s="54"/>
      <c r="O175" s="54"/>
      <c r="P175" s="8"/>
      <c r="Q175" s="53"/>
      <c r="R175" s="54"/>
      <c r="S175" s="53"/>
      <c r="T175" s="53"/>
      <c r="U175" s="54"/>
      <c r="V175" s="54"/>
      <c r="W175" s="54">
        <f>SUM(O173:O174)-SUM(U173:U174)</f>
        <v>-182280</v>
      </c>
    </row>
    <row r="176" spans="1:65" ht="20.100000000000001" customHeight="1" x14ac:dyDescent="0.25">
      <c r="A176" s="14">
        <v>63518</v>
      </c>
      <c r="B176" s="59"/>
      <c r="C176" s="60"/>
      <c r="D176" s="14"/>
      <c r="E176" s="50"/>
      <c r="F176" s="50"/>
      <c r="G176" s="50"/>
      <c r="H176" s="50"/>
      <c r="I176" s="50"/>
      <c r="J176" s="50"/>
      <c r="K176" s="50"/>
      <c r="L176" s="50"/>
      <c r="M176" s="50"/>
      <c r="N176" s="50"/>
      <c r="O176" s="50"/>
      <c r="P176" s="6">
        <v>63518</v>
      </c>
      <c r="Q176" s="52"/>
      <c r="R176" s="50"/>
      <c r="S176" s="52"/>
      <c r="T176" s="52"/>
      <c r="U176" s="50"/>
      <c r="V176" s="14"/>
      <c r="W176" s="50"/>
    </row>
    <row r="177" spans="1:23" ht="20.100000000000001" customHeight="1" x14ac:dyDescent="0.25">
      <c r="A177" s="17"/>
      <c r="B177" s="61" t="s">
        <v>124</v>
      </c>
      <c r="C177" s="57">
        <v>45391</v>
      </c>
      <c r="D177" s="17" t="s">
        <v>125</v>
      </c>
      <c r="E177" s="54">
        <v>1960000</v>
      </c>
      <c r="F177" s="54"/>
      <c r="G177" s="54">
        <f>E177-F177</f>
        <v>1960000</v>
      </c>
      <c r="H177" s="54">
        <f>ROUND(G177*18%,0)</f>
        <v>352800</v>
      </c>
      <c r="I177" s="54">
        <f>G177+H177</f>
        <v>2312800</v>
      </c>
      <c r="J177" s="54">
        <f>ROUND(G177*$J$12,0)</f>
        <v>39200</v>
      </c>
      <c r="K177" s="54">
        <f>G177*5%</f>
        <v>98000</v>
      </c>
      <c r="L177" s="54">
        <v>0</v>
      </c>
      <c r="M177" s="54">
        <f>H177</f>
        <v>352800</v>
      </c>
      <c r="N177" s="54">
        <v>235200</v>
      </c>
      <c r="O177" s="54">
        <f>ROUND(I177-SUM(J177:N177),)</f>
        <v>1587600</v>
      </c>
      <c r="P177" s="8"/>
      <c r="Q177" s="53">
        <v>1960000</v>
      </c>
      <c r="R177" s="54">
        <v>1500000</v>
      </c>
      <c r="S177" s="53">
        <f t="shared" ref="S177:S178" si="5">R177*2%</f>
        <v>30000</v>
      </c>
      <c r="T177" s="53">
        <f>Q177-SUM(R177:R179)</f>
        <v>60000</v>
      </c>
      <c r="U177" s="54">
        <v>1470000</v>
      </c>
      <c r="V177" s="18" t="s">
        <v>130</v>
      </c>
      <c r="W177" s="54"/>
    </row>
    <row r="178" spans="1:23" ht="20.100000000000001" customHeight="1" x14ac:dyDescent="0.25">
      <c r="A178" s="17"/>
      <c r="B178" s="54" t="s">
        <v>244</v>
      </c>
      <c r="C178" s="54"/>
      <c r="D178" s="54">
        <v>6</v>
      </c>
      <c r="E178" s="54">
        <f>M177</f>
        <v>352800</v>
      </c>
      <c r="F178" s="54"/>
      <c r="G178" s="54"/>
      <c r="H178" s="54"/>
      <c r="I178" s="54"/>
      <c r="J178" s="55"/>
      <c r="K178" s="55"/>
      <c r="L178" s="55"/>
      <c r="M178" s="54"/>
      <c r="N178" s="54"/>
      <c r="O178" s="54">
        <f>E178</f>
        <v>352800</v>
      </c>
      <c r="P178" s="8"/>
      <c r="Q178" s="53">
        <v>1960000</v>
      </c>
      <c r="R178" s="54">
        <v>400000</v>
      </c>
      <c r="S178" s="53">
        <f t="shared" si="5"/>
        <v>8000</v>
      </c>
      <c r="T178" s="53"/>
      <c r="U178" s="54">
        <v>392000</v>
      </c>
      <c r="V178" s="18" t="s">
        <v>133</v>
      </c>
      <c r="W178" s="54"/>
    </row>
    <row r="179" spans="1:23" ht="20.100000000000001" customHeight="1" x14ac:dyDescent="0.25">
      <c r="A179" s="17"/>
      <c r="B179" s="54"/>
      <c r="C179" s="54"/>
      <c r="D179" s="54"/>
      <c r="E179" s="54"/>
      <c r="F179" s="54"/>
      <c r="G179" s="54"/>
      <c r="H179" s="54"/>
      <c r="I179" s="54"/>
      <c r="J179" s="55"/>
      <c r="K179" s="55"/>
      <c r="L179" s="55"/>
      <c r="M179" s="54"/>
      <c r="N179" s="54"/>
      <c r="O179" s="54"/>
      <c r="P179" s="8"/>
      <c r="Q179" s="53"/>
      <c r="R179" s="54"/>
      <c r="S179" s="53"/>
      <c r="T179" s="53"/>
      <c r="U179" s="54"/>
      <c r="V179" s="18"/>
      <c r="W179" s="54">
        <f>SUM(O177:O178)-SUM(U177:U178)</f>
        <v>78400</v>
      </c>
    </row>
    <row r="180" spans="1:23" ht="20.100000000000001" customHeight="1" x14ac:dyDescent="0.25">
      <c r="A180" s="14">
        <v>63517</v>
      </c>
      <c r="B180" s="59"/>
      <c r="C180" s="60"/>
      <c r="D180" s="14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50"/>
      <c r="P180" s="6">
        <v>63517</v>
      </c>
      <c r="Q180" s="52"/>
      <c r="R180" s="50"/>
      <c r="S180" s="52"/>
      <c r="T180" s="52"/>
      <c r="U180" s="50"/>
      <c r="V180" s="14"/>
      <c r="W180" s="50"/>
    </row>
    <row r="181" spans="1:23" ht="20.100000000000001" customHeight="1" x14ac:dyDescent="0.25">
      <c r="A181" s="17"/>
      <c r="B181" s="54" t="s">
        <v>170</v>
      </c>
      <c r="C181" s="58">
        <v>45396</v>
      </c>
      <c r="D181" s="54">
        <v>7</v>
      </c>
      <c r="E181" s="54">
        <v>2475000</v>
      </c>
      <c r="F181" s="54"/>
      <c r="G181" s="54">
        <f>E181-F181</f>
        <v>2475000</v>
      </c>
      <c r="H181" s="54">
        <f>ROUND(G181*18%,0)</f>
        <v>445500</v>
      </c>
      <c r="I181" s="54">
        <f>G181+H181</f>
        <v>2920500</v>
      </c>
      <c r="J181" s="54">
        <f>ROUND(G181*$J$12,0)</f>
        <v>49500</v>
      </c>
      <c r="K181" s="54">
        <f>G181*5%</f>
        <v>123750</v>
      </c>
      <c r="L181" s="54">
        <v>0</v>
      </c>
      <c r="M181" s="54">
        <f>H181</f>
        <v>445500</v>
      </c>
      <c r="N181" s="54">
        <v>297000</v>
      </c>
      <c r="O181" s="54">
        <f>ROUND(I181-SUM(J181:N181),)</f>
        <v>2004750</v>
      </c>
      <c r="P181" s="8"/>
      <c r="Q181" s="53">
        <v>2475000</v>
      </c>
      <c r="R181" s="54">
        <v>500000</v>
      </c>
      <c r="S181" s="53"/>
      <c r="T181" s="53">
        <f>Q181-SUM(R181:R183)</f>
        <v>475000</v>
      </c>
      <c r="U181" s="54">
        <v>500000</v>
      </c>
      <c r="V181" s="18" t="s">
        <v>296</v>
      </c>
      <c r="W181" s="54"/>
    </row>
    <row r="182" spans="1:23" ht="20.100000000000001" customHeight="1" x14ac:dyDescent="0.25">
      <c r="A182" s="17"/>
      <c r="B182" s="54" t="s">
        <v>244</v>
      </c>
      <c r="C182" s="54"/>
      <c r="D182" s="54">
        <v>7</v>
      </c>
      <c r="E182" s="54">
        <f>M181</f>
        <v>445500</v>
      </c>
      <c r="F182" s="54"/>
      <c r="G182" s="54"/>
      <c r="H182" s="54"/>
      <c r="I182" s="54"/>
      <c r="J182" s="55"/>
      <c r="K182" s="55"/>
      <c r="L182" s="55"/>
      <c r="M182" s="54"/>
      <c r="N182" s="54"/>
      <c r="O182" s="54">
        <f>E182</f>
        <v>445500</v>
      </c>
      <c r="P182" s="8"/>
      <c r="Q182" s="53"/>
      <c r="R182" s="54">
        <v>1500000</v>
      </c>
      <c r="S182" s="53"/>
      <c r="T182" s="53"/>
      <c r="U182" s="54">
        <v>1500000</v>
      </c>
      <c r="V182" s="18" t="s">
        <v>309</v>
      </c>
      <c r="W182" s="54"/>
    </row>
    <row r="183" spans="1:23" ht="20.100000000000001" customHeight="1" x14ac:dyDescent="0.25">
      <c r="A183" s="17"/>
      <c r="B183" s="54"/>
      <c r="C183" s="54"/>
      <c r="D183" s="54"/>
      <c r="E183" s="54"/>
      <c r="F183" s="54"/>
      <c r="G183" s="54"/>
      <c r="H183" s="54"/>
      <c r="I183" s="54"/>
      <c r="J183" s="55"/>
      <c r="K183" s="55"/>
      <c r="L183" s="55"/>
      <c r="M183" s="54"/>
      <c r="N183" s="54"/>
      <c r="O183" s="54"/>
      <c r="P183" s="8"/>
      <c r="Q183" s="53"/>
      <c r="R183" s="54"/>
      <c r="S183" s="53"/>
      <c r="T183" s="53"/>
      <c r="U183" s="54"/>
      <c r="V183" s="18"/>
      <c r="W183" s="54">
        <f>SUM(O181:O183)-SUM(U181:U183)</f>
        <v>450250</v>
      </c>
    </row>
    <row r="184" spans="1:23" ht="20.100000000000001" customHeight="1" x14ac:dyDescent="0.25">
      <c r="A184" s="14">
        <v>63516</v>
      </c>
      <c r="B184" s="59"/>
      <c r="C184" s="60"/>
      <c r="D184" s="14"/>
      <c r="E184" s="50"/>
      <c r="F184" s="50"/>
      <c r="G184" s="50"/>
      <c r="H184" s="50"/>
      <c r="I184" s="50"/>
      <c r="J184" s="50"/>
      <c r="K184" s="50"/>
      <c r="L184" s="50"/>
      <c r="M184" s="50"/>
      <c r="N184" s="50"/>
      <c r="O184" s="50"/>
      <c r="P184" s="6">
        <v>63516</v>
      </c>
      <c r="Q184" s="52"/>
      <c r="R184" s="50"/>
      <c r="S184" s="52"/>
      <c r="T184" s="52"/>
      <c r="U184" s="50"/>
      <c r="V184" s="14"/>
      <c r="W184" s="50"/>
    </row>
    <row r="185" spans="1:23" ht="20.100000000000001" customHeight="1" x14ac:dyDescent="0.25">
      <c r="A185" s="17"/>
      <c r="B185" s="61" t="s">
        <v>157</v>
      </c>
      <c r="C185" s="57">
        <v>45387</v>
      </c>
      <c r="D185" s="17" t="s">
        <v>126</v>
      </c>
      <c r="E185" s="54">
        <v>1732500</v>
      </c>
      <c r="F185" s="54"/>
      <c r="G185" s="54">
        <f>E185-F185</f>
        <v>1732500</v>
      </c>
      <c r="H185" s="54">
        <f>ROUND(G185*18%,0)</f>
        <v>311850</v>
      </c>
      <c r="I185" s="54">
        <f>G185+H185</f>
        <v>2044350</v>
      </c>
      <c r="J185" s="54">
        <f>ROUND(G185*$J$12,0)</f>
        <v>34650</v>
      </c>
      <c r="K185" s="54">
        <f>G185*5%</f>
        <v>86625</v>
      </c>
      <c r="L185" s="54">
        <v>0</v>
      </c>
      <c r="M185" s="54">
        <f>H185</f>
        <v>311850</v>
      </c>
      <c r="N185" s="54">
        <v>297000</v>
      </c>
      <c r="O185" s="54">
        <f>ROUND(I185-SUM(J185:N185),)</f>
        <v>1314225</v>
      </c>
      <c r="P185" s="8"/>
      <c r="Q185" s="53">
        <v>2475000</v>
      </c>
      <c r="R185" s="54">
        <v>1000000</v>
      </c>
      <c r="S185" s="53">
        <f>R185*2%</f>
        <v>20000</v>
      </c>
      <c r="T185" s="53">
        <f>Q185-SUM(R185:R187)</f>
        <v>975000</v>
      </c>
      <c r="U185" s="54">
        <v>980000</v>
      </c>
      <c r="V185" s="18" t="s">
        <v>131</v>
      </c>
      <c r="W185" s="54"/>
    </row>
    <row r="186" spans="1:23" ht="20.100000000000001" customHeight="1" x14ac:dyDescent="0.25">
      <c r="A186" s="17"/>
      <c r="B186" s="54" t="s">
        <v>244</v>
      </c>
      <c r="C186" s="54"/>
      <c r="D186" s="54">
        <v>3</v>
      </c>
      <c r="E186" s="54">
        <f>M185</f>
        <v>311850</v>
      </c>
      <c r="F186" s="54"/>
      <c r="G186" s="54"/>
      <c r="H186" s="54"/>
      <c r="I186" s="54"/>
      <c r="J186" s="55"/>
      <c r="K186" s="55"/>
      <c r="L186" s="55"/>
      <c r="M186" s="54"/>
      <c r="N186" s="54"/>
      <c r="O186" s="54">
        <f>E186</f>
        <v>311850</v>
      </c>
      <c r="P186" s="8"/>
      <c r="Q186" s="53"/>
      <c r="R186" s="54">
        <v>500000</v>
      </c>
      <c r="S186" s="53"/>
      <c r="T186" s="53"/>
      <c r="U186" s="54">
        <v>500000</v>
      </c>
      <c r="V186" s="54" t="s">
        <v>294</v>
      </c>
      <c r="W186" s="54"/>
    </row>
    <row r="187" spans="1:23" ht="20.100000000000001" customHeight="1" x14ac:dyDescent="0.25">
      <c r="A187" s="17"/>
      <c r="B187" s="54"/>
      <c r="C187" s="54"/>
      <c r="D187" s="54"/>
      <c r="E187" s="54"/>
      <c r="F187" s="54"/>
      <c r="G187" s="54"/>
      <c r="H187" s="54"/>
      <c r="I187" s="54"/>
      <c r="J187" s="55"/>
      <c r="K187" s="55"/>
      <c r="L187" s="55"/>
      <c r="M187" s="54"/>
      <c r="N187" s="54"/>
      <c r="O187" s="54"/>
      <c r="P187" s="8"/>
      <c r="Q187" s="53"/>
      <c r="R187" s="54"/>
      <c r="S187" s="53"/>
      <c r="T187" s="53"/>
      <c r="U187" s="54"/>
      <c r="V187" s="54"/>
      <c r="W187" s="54">
        <f>SUM(O185:O187)-SUM(U185:U187)</f>
        <v>146075</v>
      </c>
    </row>
    <row r="188" spans="1:23" ht="20.100000000000001" customHeight="1" x14ac:dyDescent="0.25">
      <c r="A188" s="14">
        <v>62588</v>
      </c>
      <c r="B188" s="59"/>
      <c r="C188" s="60"/>
      <c r="D188" s="14"/>
      <c r="E188" s="50"/>
      <c r="F188" s="50"/>
      <c r="G188" s="50"/>
      <c r="H188" s="50"/>
      <c r="I188" s="50"/>
      <c r="J188" s="50"/>
      <c r="K188" s="50"/>
      <c r="L188" s="50"/>
      <c r="M188" s="50"/>
      <c r="N188" s="50"/>
      <c r="O188" s="50"/>
      <c r="P188" s="6">
        <v>62588</v>
      </c>
      <c r="Q188" s="52"/>
      <c r="R188" s="50"/>
      <c r="S188" s="52"/>
      <c r="T188" s="52"/>
      <c r="U188" s="50"/>
      <c r="V188" s="14"/>
      <c r="W188" s="50"/>
    </row>
    <row r="189" spans="1:23" ht="20.100000000000001" customHeight="1" x14ac:dyDescent="0.25">
      <c r="A189" s="17"/>
      <c r="B189" s="61" t="s">
        <v>90</v>
      </c>
      <c r="C189" s="57">
        <v>45447</v>
      </c>
      <c r="D189" s="17">
        <v>49</v>
      </c>
      <c r="E189" s="54">
        <v>1706250</v>
      </c>
      <c r="F189" s="54"/>
      <c r="G189" s="54">
        <f>E189-F189</f>
        <v>1706250</v>
      </c>
      <c r="H189" s="54">
        <f>ROUND(G189*18%,0)</f>
        <v>307125</v>
      </c>
      <c r="I189" s="54">
        <f>G189+H189</f>
        <v>2013375</v>
      </c>
      <c r="J189" s="54">
        <f>ROUND(G189*$J$12,0)</f>
        <v>34125</v>
      </c>
      <c r="K189" s="54">
        <f>G189*5%</f>
        <v>85312.5</v>
      </c>
      <c r="L189" s="54">
        <v>0</v>
      </c>
      <c r="M189" s="54">
        <f>H189</f>
        <v>307125</v>
      </c>
      <c r="N189" s="54">
        <f>12%*G189</f>
        <v>204750</v>
      </c>
      <c r="O189" s="54">
        <f>ROUND(I189-SUM(J189:N189),)</f>
        <v>1382063</v>
      </c>
      <c r="P189" s="8"/>
      <c r="Q189" s="53">
        <v>2598750</v>
      </c>
      <c r="R189" s="54">
        <v>1100000</v>
      </c>
      <c r="S189" s="53">
        <f>R189*2%</f>
        <v>22000</v>
      </c>
      <c r="T189" s="53">
        <f>Q189-SUM(R189:R191)</f>
        <v>1198750</v>
      </c>
      <c r="U189" s="54">
        <f>R189-S189</f>
        <v>1078000</v>
      </c>
      <c r="V189" s="18" t="s">
        <v>89</v>
      </c>
      <c r="W189" s="54"/>
    </row>
    <row r="190" spans="1:23" ht="20.100000000000001" customHeight="1" x14ac:dyDescent="0.25">
      <c r="A190" s="17"/>
      <c r="B190" s="61" t="s">
        <v>244</v>
      </c>
      <c r="C190" s="57">
        <v>45477</v>
      </c>
      <c r="D190" s="17">
        <v>49</v>
      </c>
      <c r="E190" s="54">
        <f>M189</f>
        <v>307125</v>
      </c>
      <c r="F190" s="54"/>
      <c r="G190" s="54"/>
      <c r="H190" s="54"/>
      <c r="I190" s="54"/>
      <c r="J190" s="54"/>
      <c r="K190" s="54"/>
      <c r="L190" s="54"/>
      <c r="M190" s="54"/>
      <c r="N190" s="54"/>
      <c r="O190" s="54">
        <f>E190</f>
        <v>307125</v>
      </c>
      <c r="P190" s="8"/>
      <c r="Q190" s="53"/>
      <c r="R190" s="54">
        <v>300000</v>
      </c>
      <c r="S190" s="53">
        <f>R190*2%</f>
        <v>6000</v>
      </c>
      <c r="T190" s="53"/>
      <c r="U190" s="54">
        <v>294000</v>
      </c>
      <c r="V190" s="18" t="s">
        <v>136</v>
      </c>
      <c r="W190" s="54"/>
    </row>
    <row r="191" spans="1:23" ht="20.100000000000001" customHeight="1" x14ac:dyDescent="0.25">
      <c r="A191" s="17"/>
      <c r="B191" s="61"/>
      <c r="C191" s="57"/>
      <c r="D191" s="17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8"/>
      <c r="Q191" s="53"/>
      <c r="R191" s="54"/>
      <c r="S191" s="53"/>
      <c r="T191" s="53"/>
      <c r="U191" s="54"/>
      <c r="V191" s="22"/>
      <c r="W191" s="54">
        <f>SUM(O189:O191)-SUM(U189:U191)</f>
        <v>317188</v>
      </c>
    </row>
    <row r="192" spans="1:23" ht="20.100000000000001" customHeight="1" x14ac:dyDescent="0.25">
      <c r="A192" s="14">
        <v>62568</v>
      </c>
      <c r="B192" s="59"/>
      <c r="C192" s="60"/>
      <c r="D192" s="14"/>
      <c r="E192" s="50"/>
      <c r="F192" s="50"/>
      <c r="G192" s="50"/>
      <c r="H192" s="50"/>
      <c r="I192" s="50"/>
      <c r="J192" s="50"/>
      <c r="K192" s="50"/>
      <c r="L192" s="50"/>
      <c r="M192" s="50"/>
      <c r="N192" s="50"/>
      <c r="O192" s="50"/>
      <c r="P192" s="6">
        <v>62568</v>
      </c>
      <c r="Q192" s="52"/>
      <c r="R192" s="50"/>
      <c r="S192" s="52"/>
      <c r="T192" s="52"/>
      <c r="U192" s="50"/>
      <c r="V192" s="14"/>
      <c r="W192" s="50"/>
    </row>
    <row r="193" spans="1:23" ht="20.100000000000001" customHeight="1" x14ac:dyDescent="0.25">
      <c r="A193" s="17"/>
      <c r="B193" s="61" t="s">
        <v>93</v>
      </c>
      <c r="C193" s="57">
        <v>45343</v>
      </c>
      <c r="D193" s="17">
        <v>195</v>
      </c>
      <c r="E193" s="54">
        <v>2475000</v>
      </c>
      <c r="F193" s="54"/>
      <c r="G193" s="54">
        <f>E193-F193</f>
        <v>2475000</v>
      </c>
      <c r="H193" s="54">
        <f>ROUND(G193*18%,0)</f>
        <v>445500</v>
      </c>
      <c r="I193" s="54">
        <f>G193+H193</f>
        <v>2920500</v>
      </c>
      <c r="J193" s="54">
        <f>ROUND(G193*$J$12,0)</f>
        <v>49500</v>
      </c>
      <c r="K193" s="54">
        <f>G193*5%</f>
        <v>123750</v>
      </c>
      <c r="L193" s="54">
        <v>0</v>
      </c>
      <c r="M193" s="54">
        <f>H193</f>
        <v>445500</v>
      </c>
      <c r="N193" s="54">
        <f>12%*G193</f>
        <v>297000</v>
      </c>
      <c r="O193" s="54">
        <f>ROUND(I193-SUM(J193:N193),)</f>
        <v>2004750</v>
      </c>
      <c r="P193" s="8"/>
      <c r="Q193" s="53">
        <v>2475000</v>
      </c>
      <c r="R193" s="54">
        <v>450000</v>
      </c>
      <c r="S193" s="53">
        <f>R193*2%</f>
        <v>9000</v>
      </c>
      <c r="T193" s="53">
        <f>Q193-SUM(R193:R195)</f>
        <v>25000</v>
      </c>
      <c r="U193" s="54">
        <v>441000</v>
      </c>
      <c r="V193" s="18" t="s">
        <v>91</v>
      </c>
      <c r="W193" s="54"/>
    </row>
    <row r="194" spans="1:23" ht="20.100000000000001" customHeight="1" x14ac:dyDescent="0.25">
      <c r="A194" s="17"/>
      <c r="B194" s="61" t="s">
        <v>244</v>
      </c>
      <c r="C194" s="57"/>
      <c r="D194" s="17">
        <v>195</v>
      </c>
      <c r="E194" s="54">
        <f>M193</f>
        <v>445500</v>
      </c>
      <c r="F194" s="54"/>
      <c r="G194" s="54"/>
      <c r="H194" s="54"/>
      <c r="I194" s="54"/>
      <c r="J194" s="54"/>
      <c r="K194" s="54"/>
      <c r="L194" s="54"/>
      <c r="M194" s="54"/>
      <c r="N194" s="54"/>
      <c r="O194" s="54">
        <f>E194</f>
        <v>445500</v>
      </c>
      <c r="P194" s="8"/>
      <c r="Q194" s="53"/>
      <c r="R194" s="54">
        <v>2000000</v>
      </c>
      <c r="S194" s="53">
        <f>R194*2%</f>
        <v>40000</v>
      </c>
      <c r="T194" s="53"/>
      <c r="U194" s="54">
        <v>1960000</v>
      </c>
      <c r="V194" s="18" t="s">
        <v>92</v>
      </c>
      <c r="W194" s="54"/>
    </row>
    <row r="195" spans="1:23" ht="20.100000000000001" customHeight="1" x14ac:dyDescent="0.25">
      <c r="A195" s="17"/>
      <c r="B195" s="61"/>
      <c r="C195" s="57"/>
      <c r="D195" s="17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8"/>
      <c r="Q195" s="53"/>
      <c r="R195" s="54"/>
      <c r="S195" s="53"/>
      <c r="T195" s="53"/>
      <c r="U195" s="54"/>
      <c r="V195" s="18"/>
      <c r="W195" s="54">
        <f>SUM(O193:O195)-SUM(U193:U195)</f>
        <v>49250</v>
      </c>
    </row>
    <row r="196" spans="1:23" ht="20.100000000000001" customHeight="1" x14ac:dyDescent="0.25">
      <c r="A196" s="14">
        <v>62567</v>
      </c>
      <c r="B196" s="59"/>
      <c r="C196" s="60"/>
      <c r="D196" s="14"/>
      <c r="E196" s="50"/>
      <c r="F196" s="50"/>
      <c r="G196" s="50"/>
      <c r="H196" s="50"/>
      <c r="I196" s="50"/>
      <c r="J196" s="50"/>
      <c r="K196" s="50"/>
      <c r="L196" s="50"/>
      <c r="M196" s="50"/>
      <c r="N196" s="50"/>
      <c r="O196" s="50"/>
      <c r="P196" s="6">
        <v>62567</v>
      </c>
      <c r="Q196" s="52"/>
      <c r="R196" s="50"/>
      <c r="S196" s="52"/>
      <c r="T196" s="52"/>
      <c r="U196" s="50"/>
      <c r="V196" s="14"/>
      <c r="W196" s="50"/>
    </row>
    <row r="197" spans="1:23" ht="20.100000000000001" customHeight="1" x14ac:dyDescent="0.25">
      <c r="A197" s="17"/>
      <c r="B197" s="61" t="s">
        <v>94</v>
      </c>
      <c r="C197" s="57">
        <v>45560</v>
      </c>
      <c r="D197" s="17">
        <v>103</v>
      </c>
      <c r="E197" s="54">
        <v>2475000</v>
      </c>
      <c r="F197" s="54"/>
      <c r="G197" s="54">
        <f>E197-F197</f>
        <v>2475000</v>
      </c>
      <c r="H197" s="54">
        <f>ROUND(G197*18%,0)</f>
        <v>445500</v>
      </c>
      <c r="I197" s="54">
        <f>G197+H197</f>
        <v>2920500</v>
      </c>
      <c r="J197" s="54">
        <f>ROUND(G197*$J$12,0)</f>
        <v>49500</v>
      </c>
      <c r="K197" s="54">
        <f>G197*5%</f>
        <v>123750</v>
      </c>
      <c r="L197" s="54">
        <v>0</v>
      </c>
      <c r="M197" s="54">
        <f>H197</f>
        <v>445500</v>
      </c>
      <c r="N197" s="54">
        <f>12%*G197</f>
        <v>297000</v>
      </c>
      <c r="O197" s="54">
        <f>ROUND(I197-SUM(J197:N197),)</f>
        <v>2004750</v>
      </c>
      <c r="P197" s="8"/>
      <c r="Q197" s="53">
        <v>2475000</v>
      </c>
      <c r="R197" s="54">
        <v>2000000</v>
      </c>
      <c r="S197" s="53">
        <f t="shared" ref="S197:S198" si="6">R197*2%</f>
        <v>40000</v>
      </c>
      <c r="T197" s="53">
        <f>Q197-SUM(R197:R199)</f>
        <v>25000</v>
      </c>
      <c r="U197" s="54">
        <v>1960000</v>
      </c>
      <c r="V197" s="18" t="s">
        <v>95</v>
      </c>
      <c r="W197" s="54"/>
    </row>
    <row r="198" spans="1:23" ht="20.100000000000001" customHeight="1" x14ac:dyDescent="0.25">
      <c r="A198" s="17"/>
      <c r="B198" s="61" t="s">
        <v>244</v>
      </c>
      <c r="C198" s="57"/>
      <c r="D198" s="17">
        <v>103</v>
      </c>
      <c r="E198" s="54">
        <f>M197</f>
        <v>445500</v>
      </c>
      <c r="F198" s="54"/>
      <c r="G198" s="54"/>
      <c r="H198" s="54"/>
      <c r="I198" s="54"/>
      <c r="J198" s="54"/>
      <c r="K198" s="54"/>
      <c r="L198" s="54"/>
      <c r="M198" s="54"/>
      <c r="N198" s="54"/>
      <c r="O198" s="54">
        <f>E198</f>
        <v>445500</v>
      </c>
      <c r="P198" s="8"/>
      <c r="Q198" s="53"/>
      <c r="R198" s="54">
        <v>450000</v>
      </c>
      <c r="S198" s="53">
        <f t="shared" si="6"/>
        <v>9000</v>
      </c>
      <c r="T198" s="53"/>
      <c r="U198" s="54">
        <v>441000</v>
      </c>
      <c r="V198" s="18" t="s">
        <v>96</v>
      </c>
      <c r="W198" s="54"/>
    </row>
    <row r="199" spans="1:23" ht="20.100000000000001" customHeight="1" x14ac:dyDescent="0.25">
      <c r="A199" s="17"/>
      <c r="B199" s="61"/>
      <c r="C199" s="57"/>
      <c r="D199" s="17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8"/>
      <c r="Q199" s="53"/>
      <c r="R199" s="54"/>
      <c r="S199" s="53"/>
      <c r="T199" s="53"/>
      <c r="U199" s="54"/>
      <c r="V199" s="18"/>
      <c r="W199" s="54">
        <f>SUM(O197:O199)-SUM(U197:U198)</f>
        <v>49250</v>
      </c>
    </row>
    <row r="200" spans="1:23" ht="20.100000000000001" customHeight="1" x14ac:dyDescent="0.25">
      <c r="A200" s="14">
        <v>62499</v>
      </c>
      <c r="B200" s="59"/>
      <c r="C200" s="60"/>
      <c r="D200" s="14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6">
        <v>62499</v>
      </c>
      <c r="Q200" s="52"/>
      <c r="R200" s="50"/>
      <c r="S200" s="52"/>
      <c r="T200" s="52"/>
      <c r="U200" s="50"/>
      <c r="V200" s="14"/>
      <c r="W200" s="50"/>
    </row>
    <row r="201" spans="1:23" ht="20.100000000000001" customHeight="1" x14ac:dyDescent="0.25">
      <c r="A201" s="17"/>
      <c r="B201" s="61" t="s">
        <v>97</v>
      </c>
      <c r="C201" s="57">
        <v>45371</v>
      </c>
      <c r="D201" s="17" t="s">
        <v>134</v>
      </c>
      <c r="E201" s="54">
        <v>1706250</v>
      </c>
      <c r="F201" s="54"/>
      <c r="G201" s="54">
        <f>E201-F201</f>
        <v>1706250</v>
      </c>
      <c r="H201" s="54">
        <f>ROUND(G201*18%,0)</f>
        <v>307125</v>
      </c>
      <c r="I201" s="54">
        <f>G201+H201</f>
        <v>2013375</v>
      </c>
      <c r="J201" s="54">
        <f>ROUND(G201*$J$12,0)</f>
        <v>34125</v>
      </c>
      <c r="K201" s="54">
        <f>G201*5%</f>
        <v>85312.5</v>
      </c>
      <c r="L201" s="54">
        <v>0</v>
      </c>
      <c r="M201" s="54">
        <f>H201</f>
        <v>307125</v>
      </c>
      <c r="N201" s="54">
        <v>204750</v>
      </c>
      <c r="O201" s="54">
        <f>ROUND(I201-SUM(J201:N201),)</f>
        <v>1382063</v>
      </c>
      <c r="P201" s="8"/>
      <c r="Q201" s="53">
        <v>1706250</v>
      </c>
      <c r="R201" s="54">
        <v>1000000</v>
      </c>
      <c r="S201" s="53">
        <f>R201*2%</f>
        <v>20000</v>
      </c>
      <c r="T201" s="53">
        <f>Q201-SUM(R201:R203)</f>
        <v>106250</v>
      </c>
      <c r="U201" s="54">
        <v>980000</v>
      </c>
      <c r="V201" s="18" t="s">
        <v>98</v>
      </c>
      <c r="W201" s="54"/>
    </row>
    <row r="202" spans="1:23" ht="20.100000000000001" customHeight="1" x14ac:dyDescent="0.25">
      <c r="A202" s="17"/>
      <c r="B202" s="61" t="s">
        <v>244</v>
      </c>
      <c r="C202" s="57"/>
      <c r="D202" s="17">
        <v>221</v>
      </c>
      <c r="E202" s="54">
        <f>M201</f>
        <v>307125</v>
      </c>
      <c r="F202" s="54"/>
      <c r="G202" s="54"/>
      <c r="H202" s="54"/>
      <c r="I202" s="54"/>
      <c r="J202" s="54"/>
      <c r="K202" s="54"/>
      <c r="L202" s="54"/>
      <c r="M202" s="54"/>
      <c r="N202" s="54"/>
      <c r="O202" s="54">
        <f>E202</f>
        <v>307125</v>
      </c>
      <c r="P202" s="8"/>
      <c r="Q202" s="53"/>
      <c r="R202" s="54">
        <v>600000</v>
      </c>
      <c r="S202" s="53">
        <f>R202*2%</f>
        <v>12000</v>
      </c>
      <c r="T202" s="53"/>
      <c r="U202" s="54">
        <v>588000</v>
      </c>
      <c r="V202" s="18" t="s">
        <v>99</v>
      </c>
      <c r="W202" s="54"/>
    </row>
    <row r="203" spans="1:23" ht="20.100000000000001" customHeight="1" x14ac:dyDescent="0.25">
      <c r="A203" s="17"/>
      <c r="B203" s="61"/>
      <c r="C203" s="57"/>
      <c r="D203" s="17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8"/>
      <c r="Q203" s="53"/>
      <c r="R203" s="54"/>
      <c r="S203" s="53"/>
      <c r="T203" s="53"/>
      <c r="U203" s="54"/>
      <c r="V203" s="18"/>
      <c r="W203" s="54">
        <f>SUM(O201:O203)-SUM(U201:U203)</f>
        <v>121188</v>
      </c>
    </row>
    <row r="204" spans="1:23" s="78" customFormat="1" ht="20.100000000000001" customHeight="1" x14ac:dyDescent="0.25">
      <c r="A204" s="79">
        <v>62498</v>
      </c>
      <c r="B204" s="80"/>
      <c r="C204" s="81"/>
      <c r="D204" s="79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4">
        <v>62498</v>
      </c>
      <c r="Q204" s="83"/>
      <c r="R204" s="82"/>
      <c r="S204" s="83"/>
      <c r="T204" s="83"/>
      <c r="U204" s="82"/>
      <c r="V204" s="79"/>
      <c r="W204" s="82"/>
    </row>
    <row r="205" spans="1:23" ht="20.100000000000001" customHeight="1" x14ac:dyDescent="0.25">
      <c r="A205" s="17"/>
      <c r="B205" s="61" t="s">
        <v>100</v>
      </c>
      <c r="C205" s="57">
        <v>45411</v>
      </c>
      <c r="D205" s="17">
        <v>11</v>
      </c>
      <c r="E205" s="54">
        <v>2598750</v>
      </c>
      <c r="F205" s="54"/>
      <c r="G205" s="54">
        <f>E205-F205</f>
        <v>2598750</v>
      </c>
      <c r="H205" s="54">
        <f>ROUND(G205*18%,0)</f>
        <v>467775</v>
      </c>
      <c r="I205" s="54">
        <f>G205+H205</f>
        <v>3066525</v>
      </c>
      <c r="J205" s="54">
        <f>ROUND(G205*$J$12,0)</f>
        <v>51975</v>
      </c>
      <c r="K205" s="54">
        <f>G205*5%</f>
        <v>129937.5</v>
      </c>
      <c r="L205" s="54">
        <v>0</v>
      </c>
      <c r="M205" s="54">
        <f>H205</f>
        <v>467775</v>
      </c>
      <c r="N205" s="54">
        <v>449900</v>
      </c>
      <c r="O205" s="54">
        <f>ROUND(I205-SUM(J205:N205),)</f>
        <v>1966938</v>
      </c>
      <c r="P205" s="8"/>
      <c r="Q205" s="53">
        <v>2598750</v>
      </c>
      <c r="R205" s="54">
        <v>1500000</v>
      </c>
      <c r="S205" s="53">
        <f t="shared" ref="S205:S206" si="7">R205*2%</f>
        <v>30000</v>
      </c>
      <c r="T205" s="53">
        <f>Q205-SUM(R205:R207)</f>
        <v>298750</v>
      </c>
      <c r="U205" s="54">
        <v>1470000</v>
      </c>
      <c r="V205" s="18" t="s">
        <v>101</v>
      </c>
      <c r="W205" s="54"/>
    </row>
    <row r="206" spans="1:23" ht="20.100000000000001" customHeight="1" x14ac:dyDescent="0.25">
      <c r="A206" s="17"/>
      <c r="B206" s="61"/>
      <c r="C206" s="57"/>
      <c r="D206" s="17"/>
      <c r="E206" s="54">
        <f>M205</f>
        <v>467775</v>
      </c>
      <c r="F206" s="54"/>
      <c r="G206" s="54"/>
      <c r="H206" s="54"/>
      <c r="I206" s="54"/>
      <c r="J206" s="54"/>
      <c r="K206" s="54"/>
      <c r="L206" s="54"/>
      <c r="M206" s="54"/>
      <c r="N206" s="54"/>
      <c r="O206" s="54">
        <f>E206</f>
        <v>467775</v>
      </c>
      <c r="P206" s="8"/>
      <c r="Q206" s="53"/>
      <c r="R206" s="54">
        <v>800000</v>
      </c>
      <c r="S206" s="53">
        <f t="shared" si="7"/>
        <v>16000</v>
      </c>
      <c r="T206" s="53"/>
      <c r="U206" s="54">
        <v>784000</v>
      </c>
      <c r="V206" s="18" t="s">
        <v>137</v>
      </c>
      <c r="W206" s="54"/>
    </row>
    <row r="207" spans="1:23" ht="20.100000000000001" customHeight="1" x14ac:dyDescent="0.25">
      <c r="A207" s="17"/>
      <c r="B207" s="61"/>
      <c r="C207" s="57"/>
      <c r="D207" s="17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8"/>
      <c r="Q207" s="53"/>
      <c r="R207" s="54"/>
      <c r="S207" s="53"/>
      <c r="T207" s="53"/>
      <c r="U207" s="54"/>
      <c r="V207" s="22"/>
      <c r="W207" s="54">
        <f>SUM(O205:O206)-SUM(U205:U206)</f>
        <v>180713</v>
      </c>
    </row>
    <row r="208" spans="1:23" ht="20.100000000000001" customHeight="1" x14ac:dyDescent="0.25">
      <c r="A208" s="14">
        <v>62497</v>
      </c>
      <c r="B208" s="59"/>
      <c r="C208" s="60"/>
      <c r="D208" s="14"/>
      <c r="E208" s="50"/>
      <c r="F208" s="50"/>
      <c r="G208" s="50"/>
      <c r="H208" s="50"/>
      <c r="I208" s="50"/>
      <c r="J208" s="50"/>
      <c r="K208" s="50"/>
      <c r="L208" s="50"/>
      <c r="M208" s="50"/>
      <c r="N208" s="50"/>
      <c r="O208" s="50"/>
      <c r="P208" s="6">
        <v>62497</v>
      </c>
      <c r="Q208" s="52"/>
      <c r="R208" s="50"/>
      <c r="S208" s="52"/>
      <c r="T208" s="52"/>
      <c r="U208" s="50"/>
      <c r="V208" s="14"/>
      <c r="W208" s="50"/>
    </row>
    <row r="209" spans="1:65" ht="20.100000000000001" customHeight="1" x14ac:dyDescent="0.25">
      <c r="A209" s="17"/>
      <c r="B209" s="61" t="s">
        <v>102</v>
      </c>
      <c r="C209" s="57">
        <v>45363</v>
      </c>
      <c r="D209" s="17">
        <v>217</v>
      </c>
      <c r="E209" s="54">
        <v>2756250</v>
      </c>
      <c r="F209" s="54"/>
      <c r="G209" s="54">
        <f>E209-F209</f>
        <v>2756250</v>
      </c>
      <c r="H209" s="54">
        <f>ROUND(G209*18%,0)</f>
        <v>496125</v>
      </c>
      <c r="I209" s="54">
        <f>G209+H209</f>
        <v>3252375</v>
      </c>
      <c r="J209" s="54">
        <f>ROUND(G209*$J$12,0)</f>
        <v>55125</v>
      </c>
      <c r="K209" s="54">
        <f>G209*5%</f>
        <v>137812.5</v>
      </c>
      <c r="L209" s="54">
        <v>0</v>
      </c>
      <c r="M209" s="54">
        <f>H209</f>
        <v>496125</v>
      </c>
      <c r="N209" s="54">
        <f>G209*12%</f>
        <v>330750</v>
      </c>
      <c r="O209" s="54">
        <f>ROUND(I209-SUM(J209:N209),)</f>
        <v>2232563</v>
      </c>
      <c r="P209" s="8"/>
      <c r="Q209" s="53">
        <v>2756250</v>
      </c>
      <c r="R209" s="54">
        <v>1500000</v>
      </c>
      <c r="S209" s="53">
        <f t="shared" ref="S209:S210" si="8">R209*2%</f>
        <v>30000</v>
      </c>
      <c r="T209" s="53">
        <f>Q209-SUM(R209:R211)</f>
        <v>256250</v>
      </c>
      <c r="U209" s="54">
        <v>1470000</v>
      </c>
      <c r="V209" s="18" t="s">
        <v>103</v>
      </c>
      <c r="W209" s="54"/>
    </row>
    <row r="210" spans="1:65" ht="20.100000000000001" customHeight="1" x14ac:dyDescent="0.25">
      <c r="A210" s="17"/>
      <c r="B210" s="61" t="s">
        <v>244</v>
      </c>
      <c r="C210" s="57"/>
      <c r="D210" s="17">
        <v>217</v>
      </c>
      <c r="E210" s="54">
        <f>M209</f>
        <v>496125</v>
      </c>
      <c r="F210" s="54"/>
      <c r="G210" s="54"/>
      <c r="H210" s="54"/>
      <c r="I210" s="54"/>
      <c r="J210" s="54"/>
      <c r="K210" s="54"/>
      <c r="L210" s="54"/>
      <c r="M210" s="54"/>
      <c r="N210" s="54"/>
      <c r="O210" s="54">
        <f>E210</f>
        <v>496125</v>
      </c>
      <c r="P210" s="8"/>
      <c r="Q210" s="53"/>
      <c r="R210" s="54">
        <v>1000000</v>
      </c>
      <c r="S210" s="53">
        <f t="shared" si="8"/>
        <v>20000</v>
      </c>
      <c r="T210" s="53"/>
      <c r="U210" s="54">
        <v>980000</v>
      </c>
      <c r="V210" s="18" t="s">
        <v>104</v>
      </c>
      <c r="W210" s="54"/>
    </row>
    <row r="211" spans="1:65" ht="20.100000000000001" customHeight="1" x14ac:dyDescent="0.25">
      <c r="A211" s="17"/>
      <c r="B211" s="61"/>
      <c r="C211" s="57"/>
      <c r="D211" s="17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8"/>
      <c r="Q211" s="53"/>
      <c r="R211" s="54"/>
      <c r="S211" s="53"/>
      <c r="T211" s="53"/>
      <c r="U211" s="54"/>
      <c r="V211" s="18"/>
      <c r="W211" s="54">
        <f>SUM(O209:O210)-SUM(U209:U210)</f>
        <v>278688</v>
      </c>
    </row>
    <row r="212" spans="1:65" ht="20.100000000000001" customHeight="1" x14ac:dyDescent="0.25">
      <c r="A212" s="14">
        <v>62496</v>
      </c>
      <c r="B212" s="59"/>
      <c r="C212" s="60"/>
      <c r="D212" s="14"/>
      <c r="E212" s="50"/>
      <c r="F212" s="50"/>
      <c r="G212" s="50"/>
      <c r="H212" s="50"/>
      <c r="I212" s="50"/>
      <c r="J212" s="50"/>
      <c r="K212" s="50"/>
      <c r="L212" s="50"/>
      <c r="M212" s="50"/>
      <c r="N212" s="50"/>
      <c r="O212" s="50"/>
      <c r="P212" s="6">
        <v>62496</v>
      </c>
      <c r="Q212" s="52"/>
      <c r="R212" s="50"/>
      <c r="S212" s="52"/>
      <c r="T212" s="52"/>
      <c r="U212" s="50"/>
      <c r="V212" s="14"/>
      <c r="W212" s="50"/>
    </row>
    <row r="213" spans="1:65" ht="20.100000000000001" customHeight="1" x14ac:dyDescent="0.25">
      <c r="A213" s="17"/>
      <c r="B213" s="61" t="s">
        <v>105</v>
      </c>
      <c r="C213" s="57">
        <v>45358</v>
      </c>
      <c r="D213" s="17">
        <v>216</v>
      </c>
      <c r="E213" s="54">
        <v>1791563</v>
      </c>
      <c r="F213" s="54"/>
      <c r="G213" s="54">
        <f>E213-F213</f>
        <v>1791563</v>
      </c>
      <c r="H213" s="54">
        <f>ROUND(G213*18%,0)</f>
        <v>322481</v>
      </c>
      <c r="I213" s="54">
        <f>G213+H213</f>
        <v>2114044</v>
      </c>
      <c r="J213" s="54">
        <f>ROUND(G213*$J$12,0)</f>
        <v>35831</v>
      </c>
      <c r="K213" s="54">
        <f>G213*5%</f>
        <v>89578.150000000009</v>
      </c>
      <c r="L213" s="54">
        <v>0</v>
      </c>
      <c r="M213" s="54">
        <f>H213</f>
        <v>322481</v>
      </c>
      <c r="N213" s="54">
        <f>G213*12%</f>
        <v>214987.56</v>
      </c>
      <c r="O213" s="54">
        <f>ROUND(I213-SUM(J213:N213),)</f>
        <v>1451166</v>
      </c>
      <c r="P213" s="8"/>
      <c r="Q213" s="53">
        <v>1791563</v>
      </c>
      <c r="R213" s="54">
        <v>1500000</v>
      </c>
      <c r="S213" s="53">
        <f t="shared" ref="S213:S214" si="9">R213*2%</f>
        <v>30000</v>
      </c>
      <c r="T213" s="53">
        <f>Q213-SUM(R213:R215)</f>
        <v>-108437</v>
      </c>
      <c r="U213" s="54">
        <v>1470000</v>
      </c>
      <c r="V213" s="18" t="s">
        <v>106</v>
      </c>
      <c r="W213" s="54"/>
    </row>
    <row r="214" spans="1:65" ht="20.100000000000001" customHeight="1" x14ac:dyDescent="0.25">
      <c r="A214" s="17"/>
      <c r="B214" s="61"/>
      <c r="C214" s="57"/>
      <c r="D214" s="17">
        <v>216</v>
      </c>
      <c r="E214" s="54">
        <f>M213</f>
        <v>322481</v>
      </c>
      <c r="F214" s="54"/>
      <c r="G214" s="54"/>
      <c r="H214" s="54"/>
      <c r="I214" s="54"/>
      <c r="J214" s="54"/>
      <c r="K214" s="54"/>
      <c r="L214" s="54"/>
      <c r="M214" s="54"/>
      <c r="N214" s="54"/>
      <c r="O214" s="54">
        <f>E214</f>
        <v>322481</v>
      </c>
      <c r="P214" s="8"/>
      <c r="Q214" s="53"/>
      <c r="R214" s="54">
        <v>400000</v>
      </c>
      <c r="S214" s="53">
        <f t="shared" si="9"/>
        <v>8000</v>
      </c>
      <c r="T214" s="53"/>
      <c r="U214" s="54">
        <v>392000</v>
      </c>
      <c r="V214" s="18" t="s">
        <v>107</v>
      </c>
      <c r="W214" s="54"/>
    </row>
    <row r="215" spans="1:65" ht="20.100000000000001" customHeight="1" x14ac:dyDescent="0.25">
      <c r="A215" s="17"/>
      <c r="B215" s="61"/>
      <c r="C215" s="57"/>
      <c r="D215" s="17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8"/>
      <c r="Q215" s="53"/>
      <c r="R215" s="54"/>
      <c r="S215" s="53"/>
      <c r="T215" s="53"/>
      <c r="U215" s="54"/>
      <c r="V215" s="18"/>
      <c r="W215" s="54">
        <f>SUM(O213:O215)-SUM(U213:U215)</f>
        <v>-88353</v>
      </c>
    </row>
    <row r="216" spans="1:65" ht="20.100000000000001" customHeight="1" x14ac:dyDescent="0.25">
      <c r="A216" s="14">
        <v>62493</v>
      </c>
      <c r="B216" s="59"/>
      <c r="C216" s="60"/>
      <c r="D216" s="14"/>
      <c r="E216" s="50"/>
      <c r="F216" s="50"/>
      <c r="G216" s="50"/>
      <c r="H216" s="50"/>
      <c r="I216" s="50"/>
      <c r="J216" s="50"/>
      <c r="K216" s="50"/>
      <c r="L216" s="50"/>
      <c r="M216" s="50"/>
      <c r="N216" s="50"/>
      <c r="O216" s="50"/>
      <c r="P216" s="6">
        <v>62493</v>
      </c>
      <c r="Q216" s="52"/>
      <c r="R216" s="50"/>
      <c r="S216" s="52"/>
      <c r="T216" s="52"/>
      <c r="U216" s="50"/>
      <c r="V216" s="14"/>
      <c r="W216" s="50"/>
    </row>
    <row r="217" spans="1:65" ht="20.100000000000001" customHeight="1" x14ac:dyDescent="0.25">
      <c r="A217" s="17"/>
      <c r="B217" s="61" t="s">
        <v>110</v>
      </c>
      <c r="C217" s="57">
        <v>45396</v>
      </c>
      <c r="D217" s="17" t="s">
        <v>127</v>
      </c>
      <c r="E217" s="54">
        <v>2598750</v>
      </c>
      <c r="F217" s="54"/>
      <c r="G217" s="54">
        <f>E217-F217</f>
        <v>2598750</v>
      </c>
      <c r="H217" s="54">
        <f>ROUND(G217*18%,0)</f>
        <v>467775</v>
      </c>
      <c r="I217" s="54">
        <f>G217+H217</f>
        <v>3066525</v>
      </c>
      <c r="J217" s="54">
        <f>ROUND(G217*$J$12,0)</f>
        <v>51975</v>
      </c>
      <c r="K217" s="54">
        <f>G217*5%</f>
        <v>129937.5</v>
      </c>
      <c r="L217" s="54">
        <v>0</v>
      </c>
      <c r="M217" s="54">
        <f>H217</f>
        <v>467775</v>
      </c>
      <c r="N217" s="54">
        <f>G217*12%</f>
        <v>311850</v>
      </c>
      <c r="O217" s="54">
        <f>ROUND(I217-SUM(J217:N217),)</f>
        <v>2104988</v>
      </c>
      <c r="P217" s="8"/>
      <c r="Q217" s="53">
        <v>2598750</v>
      </c>
      <c r="R217" s="54">
        <v>1500000</v>
      </c>
      <c r="S217" s="53">
        <f t="shared" ref="S217:S218" si="10">R217*2%</f>
        <v>30000</v>
      </c>
      <c r="T217" s="53">
        <f>Q217-SUM(R217:R219)</f>
        <v>98750</v>
      </c>
      <c r="U217" s="54">
        <v>1470000</v>
      </c>
      <c r="V217" s="18" t="s">
        <v>108</v>
      </c>
      <c r="W217" s="54"/>
    </row>
    <row r="218" spans="1:65" ht="20.100000000000001" customHeight="1" x14ac:dyDescent="0.25">
      <c r="A218" s="17"/>
      <c r="B218" s="61" t="s">
        <v>244</v>
      </c>
      <c r="C218" s="57"/>
      <c r="D218" s="17">
        <v>8</v>
      </c>
      <c r="E218" s="54">
        <f>M217</f>
        <v>467775</v>
      </c>
      <c r="F218" s="54"/>
      <c r="G218" s="54"/>
      <c r="H218" s="54"/>
      <c r="I218" s="54"/>
      <c r="J218" s="54"/>
      <c r="K218" s="54"/>
      <c r="L218" s="54"/>
      <c r="M218" s="54"/>
      <c r="N218" s="54"/>
      <c r="O218" s="54">
        <f>E218</f>
        <v>467775</v>
      </c>
      <c r="P218" s="8"/>
      <c r="Q218" s="53"/>
      <c r="R218" s="54">
        <v>1000000</v>
      </c>
      <c r="S218" s="53">
        <f t="shared" si="10"/>
        <v>20000</v>
      </c>
      <c r="T218" s="53"/>
      <c r="U218" s="54">
        <v>980000</v>
      </c>
      <c r="V218" s="18" t="s">
        <v>109</v>
      </c>
      <c r="W218" s="54"/>
    </row>
    <row r="219" spans="1:65" s="16" customFormat="1" ht="20.100000000000001" customHeight="1" x14ac:dyDescent="0.25">
      <c r="A219" s="17"/>
      <c r="B219" s="61"/>
      <c r="C219" s="57"/>
      <c r="D219" s="17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8"/>
      <c r="Q219" s="53"/>
      <c r="R219" s="54"/>
      <c r="S219" s="53"/>
      <c r="T219" s="53"/>
      <c r="U219" s="54"/>
      <c r="V219" s="18"/>
      <c r="W219" s="54">
        <f>SUM(O217:O219)-SUM(U217:U219)</f>
        <v>122763</v>
      </c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  <c r="BM219" s="9"/>
    </row>
    <row r="220" spans="1:65" ht="20.100000000000001" customHeight="1" x14ac:dyDescent="0.25">
      <c r="A220" s="14">
        <v>62291</v>
      </c>
      <c r="B220" s="59"/>
      <c r="C220" s="60"/>
      <c r="D220" s="14"/>
      <c r="E220" s="50"/>
      <c r="F220" s="50"/>
      <c r="G220" s="50"/>
      <c r="H220" s="50"/>
      <c r="I220" s="50"/>
      <c r="J220" s="50"/>
      <c r="K220" s="50"/>
      <c r="L220" s="50"/>
      <c r="M220" s="50"/>
      <c r="N220" s="50"/>
      <c r="O220" s="50"/>
      <c r="P220" s="6">
        <v>62291</v>
      </c>
      <c r="Q220" s="52"/>
      <c r="R220" s="50"/>
      <c r="S220" s="52"/>
      <c r="T220" s="52"/>
      <c r="U220" s="50"/>
      <c r="V220" s="14"/>
      <c r="W220" s="50"/>
    </row>
    <row r="221" spans="1:65" ht="20.100000000000001" customHeight="1" x14ac:dyDescent="0.25">
      <c r="A221" s="17"/>
      <c r="B221" s="61" t="s">
        <v>111</v>
      </c>
      <c r="C221" s="57">
        <v>45427</v>
      </c>
      <c r="D221" s="17">
        <v>22</v>
      </c>
      <c r="E221" s="54">
        <v>2080000</v>
      </c>
      <c r="F221" s="54"/>
      <c r="G221" s="54">
        <f>E221-F221</f>
        <v>2080000</v>
      </c>
      <c r="H221" s="54">
        <f>ROUND(G221*18%,0)</f>
        <v>374400</v>
      </c>
      <c r="I221" s="54">
        <f>G221+H221</f>
        <v>2454400</v>
      </c>
      <c r="J221" s="54">
        <f>ROUND(G221*$J$12,0)</f>
        <v>41600</v>
      </c>
      <c r="K221" s="54">
        <f>G221*5%</f>
        <v>104000</v>
      </c>
      <c r="L221" s="54">
        <v>0</v>
      </c>
      <c r="M221" s="54">
        <f>H221</f>
        <v>374400</v>
      </c>
      <c r="N221" s="54">
        <f>G221*12%</f>
        <v>249600</v>
      </c>
      <c r="O221" s="54">
        <f>ROUND(I221-SUM(J221:N221),)</f>
        <v>1684800</v>
      </c>
      <c r="P221" s="8"/>
      <c r="Q221" s="53">
        <v>2080000</v>
      </c>
      <c r="R221" s="54">
        <v>1000000</v>
      </c>
      <c r="S221" s="53">
        <f>R221*2%</f>
        <v>20000</v>
      </c>
      <c r="T221" s="53">
        <f>Q221-SUM(R221:R223)</f>
        <v>280000</v>
      </c>
      <c r="U221" s="54">
        <v>980000</v>
      </c>
      <c r="V221" s="18" t="s">
        <v>112</v>
      </c>
      <c r="W221" s="54"/>
    </row>
    <row r="222" spans="1:65" s="16" customFormat="1" ht="20.100000000000001" customHeight="1" x14ac:dyDescent="0.25">
      <c r="A222" s="17"/>
      <c r="B222" s="61" t="s">
        <v>244</v>
      </c>
      <c r="C222" s="57"/>
      <c r="D222" s="17">
        <v>22</v>
      </c>
      <c r="E222" s="54">
        <f>M221</f>
        <v>374400</v>
      </c>
      <c r="F222" s="54"/>
      <c r="G222" s="54"/>
      <c r="H222" s="54"/>
      <c r="I222" s="54"/>
      <c r="J222" s="54"/>
      <c r="K222" s="54"/>
      <c r="L222" s="54"/>
      <c r="M222" s="54"/>
      <c r="N222" s="54"/>
      <c r="O222" s="54">
        <f>E222</f>
        <v>374400</v>
      </c>
      <c r="P222" s="8"/>
      <c r="Q222" s="53"/>
      <c r="R222" s="54">
        <v>800000</v>
      </c>
      <c r="S222" s="53">
        <f>R222*2%</f>
        <v>16000</v>
      </c>
      <c r="T222" s="53"/>
      <c r="U222" s="54">
        <v>784000</v>
      </c>
      <c r="V222" s="18" t="s">
        <v>113</v>
      </c>
      <c r="W222" s="54">
        <f>SUM(O221:O222)-SUM(U221:U222)</f>
        <v>295200</v>
      </c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9"/>
      <c r="BM222" s="9"/>
    </row>
    <row r="223" spans="1:65" s="16" customFormat="1" ht="20.100000000000001" customHeight="1" x14ac:dyDescent="0.25">
      <c r="A223" s="17"/>
      <c r="B223" s="61"/>
      <c r="C223" s="57"/>
      <c r="D223" s="17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8"/>
      <c r="Q223" s="53"/>
      <c r="R223" s="54"/>
      <c r="S223" s="53"/>
      <c r="T223" s="53"/>
      <c r="U223" s="54"/>
      <c r="V223" s="18"/>
      <c r="W223" s="54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</row>
    <row r="224" spans="1:65" ht="20.100000000000001" customHeight="1" x14ac:dyDescent="0.25">
      <c r="A224" s="14">
        <v>62255</v>
      </c>
      <c r="B224" s="59"/>
      <c r="C224" s="60"/>
      <c r="D224" s="14"/>
      <c r="E224" s="50"/>
      <c r="F224" s="50"/>
      <c r="G224" s="50"/>
      <c r="H224" s="50"/>
      <c r="I224" s="50"/>
      <c r="J224" s="50"/>
      <c r="K224" s="50"/>
      <c r="L224" s="50"/>
      <c r="M224" s="50"/>
      <c r="N224" s="50"/>
      <c r="O224" s="50"/>
      <c r="P224" s="6">
        <v>62255</v>
      </c>
      <c r="Q224" s="52"/>
      <c r="R224" s="50"/>
      <c r="S224" s="52"/>
      <c r="T224" s="52"/>
      <c r="U224" s="50"/>
      <c r="V224" s="14"/>
      <c r="W224" s="50"/>
    </row>
    <row r="225" spans="1:65" ht="20.100000000000001" customHeight="1" x14ac:dyDescent="0.25">
      <c r="A225" s="17"/>
      <c r="B225" s="71" t="s">
        <v>279</v>
      </c>
      <c r="C225" s="57">
        <v>45456</v>
      </c>
      <c r="D225" s="17">
        <v>39</v>
      </c>
      <c r="E225" s="54">
        <v>1365000</v>
      </c>
      <c r="F225" s="54"/>
      <c r="G225" s="54">
        <f>E225-F225</f>
        <v>1365000</v>
      </c>
      <c r="H225" s="54">
        <f>ROUND(G225*18%,0)</f>
        <v>245700</v>
      </c>
      <c r="I225" s="54">
        <f>G225+H225</f>
        <v>1610700</v>
      </c>
      <c r="J225" s="54">
        <f>ROUND(G225*$J$12,0)</f>
        <v>27300</v>
      </c>
      <c r="K225" s="54">
        <f>G225*5%</f>
        <v>68250</v>
      </c>
      <c r="L225" s="54">
        <v>0</v>
      </c>
      <c r="M225" s="54">
        <f>H225</f>
        <v>245700</v>
      </c>
      <c r="N225" s="54">
        <f>G225*12%</f>
        <v>163800</v>
      </c>
      <c r="O225" s="54">
        <f>ROUND(I225-SUM(J225:N225),)</f>
        <v>1105650</v>
      </c>
      <c r="P225" s="8"/>
      <c r="Q225" s="53">
        <v>1365000</v>
      </c>
      <c r="R225" s="54">
        <v>500000</v>
      </c>
      <c r="S225" s="53">
        <f>R225*2%</f>
        <v>10000</v>
      </c>
      <c r="T225" s="53">
        <f>Q225-SUM(R225:R227)</f>
        <v>365000</v>
      </c>
      <c r="U225" s="54">
        <v>490000</v>
      </c>
      <c r="V225" s="18" t="s">
        <v>122</v>
      </c>
      <c r="W225" s="54"/>
    </row>
    <row r="226" spans="1:65" s="16" customFormat="1" ht="20.100000000000001" customHeight="1" x14ac:dyDescent="0.25">
      <c r="A226" s="17"/>
      <c r="B226" s="61" t="s">
        <v>244</v>
      </c>
      <c r="C226" s="57"/>
      <c r="D226" s="17">
        <v>39</v>
      </c>
      <c r="E226" s="54">
        <f>M225</f>
        <v>245700</v>
      </c>
      <c r="F226" s="54"/>
      <c r="G226" s="54"/>
      <c r="H226" s="54"/>
      <c r="I226" s="54"/>
      <c r="J226" s="54"/>
      <c r="K226" s="54"/>
      <c r="L226" s="54"/>
      <c r="M226" s="54"/>
      <c r="N226" s="54"/>
      <c r="O226" s="54">
        <f>E226</f>
        <v>245700</v>
      </c>
      <c r="P226" s="8"/>
      <c r="Q226" s="53"/>
      <c r="R226" s="54">
        <v>500000</v>
      </c>
      <c r="S226" s="53"/>
      <c r="T226" s="53"/>
      <c r="U226" s="54">
        <v>490000</v>
      </c>
      <c r="V226" s="18" t="s">
        <v>291</v>
      </c>
      <c r="W226" s="54">
        <f>SUM(O225:O227)-SUM(U225:U227)</f>
        <v>371350</v>
      </c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</row>
    <row r="227" spans="1:65" s="16" customFormat="1" ht="20.100000000000001" customHeight="1" x14ac:dyDescent="0.25">
      <c r="A227" s="17"/>
      <c r="B227" s="61"/>
      <c r="C227" s="57"/>
      <c r="D227" s="17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8"/>
      <c r="Q227" s="53"/>
      <c r="R227" s="54"/>
      <c r="S227" s="53"/>
      <c r="T227" s="53"/>
      <c r="U227" s="54"/>
      <c r="V227" s="18"/>
      <c r="W227" s="54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</row>
    <row r="228" spans="1:65" ht="20.100000000000001" customHeight="1" x14ac:dyDescent="0.25">
      <c r="A228" s="14">
        <v>62254</v>
      </c>
      <c r="B228" s="59"/>
      <c r="C228" s="60"/>
      <c r="D228" s="14"/>
      <c r="E228" s="50"/>
      <c r="F228" s="50"/>
      <c r="G228" s="50"/>
      <c r="H228" s="50"/>
      <c r="I228" s="50"/>
      <c r="J228" s="50"/>
      <c r="K228" s="50"/>
      <c r="L228" s="50"/>
      <c r="M228" s="50"/>
      <c r="N228" s="50"/>
      <c r="O228" s="50"/>
      <c r="P228" s="6">
        <v>62254</v>
      </c>
      <c r="Q228" s="52"/>
      <c r="R228" s="50"/>
      <c r="S228" s="52"/>
      <c r="T228" s="52"/>
      <c r="U228" s="50"/>
      <c r="V228" s="14"/>
      <c r="W228" s="50"/>
    </row>
    <row r="229" spans="1:65" ht="20.100000000000001" customHeight="1" x14ac:dyDescent="0.25">
      <c r="A229" s="17"/>
      <c r="B229" s="61" t="s">
        <v>114</v>
      </c>
      <c r="C229" s="57" t="s">
        <v>270</v>
      </c>
      <c r="D229" s="17">
        <v>45</v>
      </c>
      <c r="E229" s="54">
        <v>3500000</v>
      </c>
      <c r="F229" s="54"/>
      <c r="G229" s="54">
        <f>E229-F229</f>
        <v>3500000</v>
      </c>
      <c r="H229" s="54">
        <f>ROUND(G229*18%,0)</f>
        <v>630000</v>
      </c>
      <c r="I229" s="54">
        <f>G229+H229</f>
        <v>4130000</v>
      </c>
      <c r="J229" s="54">
        <f>ROUND(G229*$J$12,0)</f>
        <v>70000</v>
      </c>
      <c r="K229" s="54">
        <f>G229*5%</f>
        <v>175000</v>
      </c>
      <c r="L229" s="54">
        <v>0</v>
      </c>
      <c r="M229" s="54">
        <f>H229</f>
        <v>630000</v>
      </c>
      <c r="N229" s="54">
        <f>G229*12%</f>
        <v>420000</v>
      </c>
      <c r="O229" s="54">
        <f>ROUND(I229-SUM(J229:N229),)</f>
        <v>2835000</v>
      </c>
      <c r="P229" s="8"/>
      <c r="Q229" s="53">
        <v>3500000</v>
      </c>
      <c r="R229" s="54">
        <v>2000000</v>
      </c>
      <c r="S229" s="53">
        <f t="shared" ref="S229:S230" si="11">R229*2%</f>
        <v>40000</v>
      </c>
      <c r="T229" s="53">
        <f>Q229-SUM(R229:R231)</f>
        <v>300000</v>
      </c>
      <c r="U229" s="54">
        <v>1960000</v>
      </c>
      <c r="V229" s="18" t="s">
        <v>115</v>
      </c>
      <c r="W229" s="54"/>
    </row>
    <row r="230" spans="1:65" s="16" customFormat="1" ht="20.100000000000001" customHeight="1" x14ac:dyDescent="0.25">
      <c r="A230" s="17"/>
      <c r="B230" s="61" t="s">
        <v>244</v>
      </c>
      <c r="C230" s="57"/>
      <c r="D230" s="17">
        <v>45</v>
      </c>
      <c r="E230" s="54">
        <f>M229</f>
        <v>630000</v>
      </c>
      <c r="F230" s="54"/>
      <c r="G230" s="54"/>
      <c r="H230" s="54"/>
      <c r="I230" s="54"/>
      <c r="J230" s="54"/>
      <c r="K230" s="54"/>
      <c r="L230" s="54"/>
      <c r="M230" s="54"/>
      <c r="N230" s="54"/>
      <c r="O230" s="54">
        <f>E230</f>
        <v>630000</v>
      </c>
      <c r="P230" s="8"/>
      <c r="Q230" s="53"/>
      <c r="R230" s="54">
        <v>1200000</v>
      </c>
      <c r="S230" s="53">
        <f t="shared" si="11"/>
        <v>24000</v>
      </c>
      <c r="T230" s="53"/>
      <c r="U230" s="54">
        <v>1176000</v>
      </c>
      <c r="V230" s="18" t="s">
        <v>138</v>
      </c>
      <c r="W230" s="54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9"/>
      <c r="BM230" s="9"/>
    </row>
    <row r="231" spans="1:65" s="16" customFormat="1" ht="20.100000000000001" customHeight="1" x14ac:dyDescent="0.25">
      <c r="A231" s="17"/>
      <c r="B231" s="61"/>
      <c r="C231" s="57"/>
      <c r="D231" s="17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8"/>
      <c r="Q231" s="53"/>
      <c r="R231" s="54"/>
      <c r="S231" s="53"/>
      <c r="T231" s="53"/>
      <c r="U231" s="54"/>
      <c r="V231" s="22"/>
      <c r="W231" s="54">
        <f>SUM(O229:O231)-SUM(U229:U231)</f>
        <v>329000</v>
      </c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  <c r="BM231" s="9"/>
    </row>
    <row r="232" spans="1:65" ht="20.100000000000001" customHeight="1" x14ac:dyDescent="0.25">
      <c r="A232" s="14">
        <v>62253</v>
      </c>
      <c r="B232" s="59"/>
      <c r="C232" s="60"/>
      <c r="D232" s="14"/>
      <c r="E232" s="50"/>
      <c r="F232" s="50"/>
      <c r="G232" s="50"/>
      <c r="H232" s="50"/>
      <c r="I232" s="50"/>
      <c r="J232" s="50"/>
      <c r="K232" s="50"/>
      <c r="L232" s="50"/>
      <c r="M232" s="50"/>
      <c r="N232" s="50"/>
      <c r="O232" s="50"/>
      <c r="P232" s="6">
        <v>62253</v>
      </c>
      <c r="Q232" s="52"/>
      <c r="R232" s="50"/>
      <c r="S232" s="52"/>
      <c r="T232" s="52"/>
      <c r="U232" s="50"/>
      <c r="V232" s="14"/>
      <c r="W232" s="50"/>
    </row>
    <row r="233" spans="1:65" ht="20.100000000000001" customHeight="1" x14ac:dyDescent="0.25">
      <c r="A233" s="17"/>
      <c r="B233" s="61" t="s">
        <v>116</v>
      </c>
      <c r="C233" s="57" t="s">
        <v>271</v>
      </c>
      <c r="D233" s="17">
        <v>44</v>
      </c>
      <c r="E233" s="54">
        <v>1365000</v>
      </c>
      <c r="F233" s="54"/>
      <c r="G233" s="54">
        <f>E233-F233</f>
        <v>1365000</v>
      </c>
      <c r="H233" s="54">
        <f>ROUND(G233*18%,0)</f>
        <v>245700</v>
      </c>
      <c r="I233" s="54">
        <f>G233+H233</f>
        <v>1610700</v>
      </c>
      <c r="J233" s="54">
        <f>ROUND(G233*$J$12,0)</f>
        <v>27300</v>
      </c>
      <c r="K233" s="54">
        <f>G233*5%</f>
        <v>68250</v>
      </c>
      <c r="L233" s="54">
        <v>0</v>
      </c>
      <c r="M233" s="54">
        <f>H233</f>
        <v>245700</v>
      </c>
      <c r="N233" s="54">
        <f>G233*12%</f>
        <v>163800</v>
      </c>
      <c r="O233" s="54">
        <f>ROUND(I233-SUM(J233:N233),)</f>
        <v>1105650</v>
      </c>
      <c r="P233" s="8"/>
      <c r="Q233" s="53">
        <v>1365000</v>
      </c>
      <c r="R233" s="54">
        <v>500000</v>
      </c>
      <c r="S233" s="53">
        <f>R233*2%</f>
        <v>10000</v>
      </c>
      <c r="T233" s="53">
        <f>Q233-SUM(R233:R235)</f>
        <v>465000</v>
      </c>
      <c r="U233" s="54">
        <v>490000</v>
      </c>
      <c r="V233" s="18" t="s">
        <v>117</v>
      </c>
      <c r="W233" s="54"/>
    </row>
    <row r="234" spans="1:65" s="16" customFormat="1" ht="20.100000000000001" customHeight="1" x14ac:dyDescent="0.25">
      <c r="A234" s="17"/>
      <c r="B234" s="61" t="s">
        <v>244</v>
      </c>
      <c r="C234" s="57"/>
      <c r="D234" s="17">
        <v>44</v>
      </c>
      <c r="E234" s="54">
        <f>M233</f>
        <v>245700</v>
      </c>
      <c r="F234" s="54"/>
      <c r="G234" s="54"/>
      <c r="H234" s="54"/>
      <c r="I234" s="54"/>
      <c r="J234" s="54"/>
      <c r="K234" s="54"/>
      <c r="L234" s="54"/>
      <c r="M234" s="54"/>
      <c r="N234" s="54"/>
      <c r="O234" s="54">
        <f>E234</f>
        <v>245700</v>
      </c>
      <c r="P234" s="8"/>
      <c r="Q234" s="53"/>
      <c r="R234" s="54">
        <v>400000</v>
      </c>
      <c r="S234" s="53">
        <f t="shared" ref="S234" si="12">R234*2%</f>
        <v>8000</v>
      </c>
      <c r="T234" s="53"/>
      <c r="U234" s="54">
        <v>392000</v>
      </c>
      <c r="V234" s="22" t="s">
        <v>139</v>
      </c>
      <c r="W234" s="54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9"/>
      <c r="BM234" s="9"/>
    </row>
    <row r="235" spans="1:65" s="16" customFormat="1" ht="20.100000000000001" customHeight="1" x14ac:dyDescent="0.25">
      <c r="A235" s="17"/>
      <c r="B235" s="61"/>
      <c r="C235" s="57"/>
      <c r="D235" s="17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8"/>
      <c r="Q235" s="53"/>
      <c r="R235" s="54"/>
      <c r="S235" s="53"/>
      <c r="T235" s="53"/>
      <c r="U235" s="54"/>
      <c r="V235" s="22"/>
      <c r="W235" s="54">
        <f>SUM(O233:O235)-SUM(U233:U235)</f>
        <v>469350</v>
      </c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9"/>
      <c r="BM235" s="9"/>
    </row>
    <row r="236" spans="1:65" ht="20.100000000000001" customHeight="1" x14ac:dyDescent="0.25">
      <c r="A236" s="14">
        <v>62250</v>
      </c>
      <c r="B236" s="59"/>
      <c r="C236" s="60"/>
      <c r="D236" s="14"/>
      <c r="E236" s="50"/>
      <c r="F236" s="50"/>
      <c r="G236" s="50"/>
      <c r="H236" s="50"/>
      <c r="I236" s="50"/>
      <c r="J236" s="50"/>
      <c r="K236" s="50"/>
      <c r="L236" s="50"/>
      <c r="M236" s="50"/>
      <c r="N236" s="50"/>
      <c r="O236" s="50"/>
      <c r="P236" s="6">
        <v>62250</v>
      </c>
      <c r="Q236" s="52"/>
      <c r="R236" s="50"/>
      <c r="S236" s="52"/>
      <c r="T236" s="52"/>
      <c r="U236" s="50"/>
      <c r="V236" s="14"/>
      <c r="W236" s="50"/>
    </row>
    <row r="237" spans="1:65" ht="20.100000000000001" customHeight="1" x14ac:dyDescent="0.25">
      <c r="A237" s="17"/>
      <c r="B237" s="71" t="s">
        <v>280</v>
      </c>
      <c r="C237" s="57">
        <v>45480</v>
      </c>
      <c r="D237" s="17">
        <v>53</v>
      </c>
      <c r="E237" s="54">
        <v>2080000</v>
      </c>
      <c r="F237" s="54"/>
      <c r="G237" s="54">
        <f>E237-F237</f>
        <v>2080000</v>
      </c>
      <c r="H237" s="54">
        <f>ROUND(G237*18%,0)</f>
        <v>374400</v>
      </c>
      <c r="I237" s="54">
        <f>G237+H237</f>
        <v>2454400</v>
      </c>
      <c r="J237" s="54">
        <f>ROUND(G237*$J$12,0)</f>
        <v>41600</v>
      </c>
      <c r="K237" s="54">
        <f>G237*5%</f>
        <v>104000</v>
      </c>
      <c r="L237" s="54">
        <v>0</v>
      </c>
      <c r="M237" s="54">
        <f>H237</f>
        <v>374400</v>
      </c>
      <c r="N237" s="54">
        <f>G237*12%</f>
        <v>249600</v>
      </c>
      <c r="O237" s="54">
        <f>ROUND(I237-SUM(J237:N237),)</f>
        <v>1684800</v>
      </c>
      <c r="P237" s="8"/>
      <c r="Q237" s="53">
        <v>2080000</v>
      </c>
      <c r="R237" s="54">
        <v>1500000</v>
      </c>
      <c r="S237" s="53">
        <f t="shared" ref="S237:S238" si="13">R237*2%</f>
        <v>30000</v>
      </c>
      <c r="T237" s="53">
        <f>Q237-SUM(R237:R239)</f>
        <v>380000</v>
      </c>
      <c r="U237" s="54">
        <v>1470000</v>
      </c>
      <c r="V237" s="18" t="s">
        <v>118</v>
      </c>
      <c r="W237" s="54"/>
    </row>
    <row r="238" spans="1:65" s="16" customFormat="1" ht="20.100000000000001" customHeight="1" x14ac:dyDescent="0.25">
      <c r="A238" s="17"/>
      <c r="B238" s="61" t="s">
        <v>244</v>
      </c>
      <c r="C238" s="57"/>
      <c r="D238" s="17">
        <v>53</v>
      </c>
      <c r="E238" s="54">
        <f>M237</f>
        <v>374400</v>
      </c>
      <c r="F238" s="54"/>
      <c r="G238" s="54"/>
      <c r="H238" s="54"/>
      <c r="I238" s="54"/>
      <c r="J238" s="54"/>
      <c r="K238" s="54"/>
      <c r="L238" s="54"/>
      <c r="M238" s="54"/>
      <c r="N238" s="54"/>
      <c r="O238" s="54">
        <f>E238</f>
        <v>374400</v>
      </c>
      <c r="P238" s="8"/>
      <c r="Q238" s="53"/>
      <c r="R238" s="54">
        <v>200000</v>
      </c>
      <c r="S238" s="53">
        <f t="shared" si="13"/>
        <v>4000</v>
      </c>
      <c r="T238" s="53"/>
      <c r="U238" s="54">
        <v>196000</v>
      </c>
      <c r="V238" s="22" t="s">
        <v>140</v>
      </c>
      <c r="W238" s="54">
        <f>SUM(O237:O238)-SUM(U237:U238)</f>
        <v>393200</v>
      </c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  <c r="BM238" s="9"/>
    </row>
    <row r="239" spans="1:65" s="16" customFormat="1" ht="20.100000000000001" customHeight="1" x14ac:dyDescent="0.25">
      <c r="A239" s="17"/>
      <c r="B239" s="61"/>
      <c r="C239" s="57"/>
      <c r="D239" s="17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8"/>
      <c r="Q239" s="53"/>
      <c r="R239" s="54"/>
      <c r="S239" s="53"/>
      <c r="T239" s="53"/>
      <c r="U239" s="54"/>
      <c r="V239" s="22"/>
      <c r="W239" s="54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  <c r="BL239" s="9"/>
      <c r="BM239" s="9"/>
    </row>
    <row r="240" spans="1:65" ht="20.100000000000001" customHeight="1" x14ac:dyDescent="0.25">
      <c r="A240" s="14">
        <v>62248</v>
      </c>
      <c r="B240" s="59"/>
      <c r="C240" s="60"/>
      <c r="D240" s="14"/>
      <c r="E240" s="50"/>
      <c r="F240" s="50"/>
      <c r="G240" s="50"/>
      <c r="H240" s="50"/>
      <c r="I240" s="50"/>
      <c r="J240" s="50"/>
      <c r="K240" s="50"/>
      <c r="L240" s="50"/>
      <c r="M240" s="50"/>
      <c r="N240" s="50"/>
      <c r="O240" s="50"/>
      <c r="P240" s="6">
        <v>62248</v>
      </c>
      <c r="Q240" s="52"/>
      <c r="R240" s="50"/>
      <c r="S240" s="52"/>
      <c r="T240" s="52"/>
      <c r="U240" s="50"/>
      <c r="V240" s="14"/>
      <c r="W240" s="50"/>
    </row>
    <row r="241" spans="1:23" ht="20.100000000000001" customHeight="1" x14ac:dyDescent="0.25">
      <c r="A241" s="17"/>
      <c r="B241" s="61" t="s">
        <v>275</v>
      </c>
      <c r="C241" s="57" t="s">
        <v>273</v>
      </c>
      <c r="D241" s="17">
        <v>48</v>
      </c>
      <c r="E241" s="54">
        <v>1365000</v>
      </c>
      <c r="F241" s="54"/>
      <c r="G241" s="54">
        <f>E241-F241</f>
        <v>1365000</v>
      </c>
      <c r="H241" s="54">
        <f>ROUND(G241*18%,0)</f>
        <v>245700</v>
      </c>
      <c r="I241" s="54">
        <f>G241+H241</f>
        <v>1610700</v>
      </c>
      <c r="J241" s="54">
        <f>ROUND(G241*$J$12,0)</f>
        <v>27300</v>
      </c>
      <c r="K241" s="54">
        <f>G241*5%</f>
        <v>68250</v>
      </c>
      <c r="L241" s="54">
        <v>0</v>
      </c>
      <c r="M241" s="54">
        <f>H241</f>
        <v>245700</v>
      </c>
      <c r="N241" s="54">
        <f>G241*12%</f>
        <v>163800</v>
      </c>
      <c r="O241" s="54">
        <f>ROUND(I241-SUM(J241:N241),)</f>
        <v>1105650</v>
      </c>
      <c r="P241" s="8"/>
      <c r="Q241" s="53">
        <v>1365000</v>
      </c>
      <c r="R241" s="54">
        <v>500000</v>
      </c>
      <c r="S241" s="53">
        <f t="shared" ref="S241:S242" si="14">R241*2%</f>
        <v>10000</v>
      </c>
      <c r="T241" s="53">
        <f>Q241-SUM(R241:R243)</f>
        <v>465000</v>
      </c>
      <c r="U241" s="54">
        <v>490000</v>
      </c>
      <c r="V241" s="18" t="s">
        <v>119</v>
      </c>
      <c r="W241" s="54"/>
    </row>
    <row r="242" spans="1:23" ht="20.100000000000001" customHeight="1" x14ac:dyDescent="0.25">
      <c r="A242" s="17"/>
      <c r="B242" s="61" t="s">
        <v>244</v>
      </c>
      <c r="C242" s="57"/>
      <c r="D242" s="17">
        <v>48</v>
      </c>
      <c r="E242" s="54">
        <f>M241</f>
        <v>245700</v>
      </c>
      <c r="F242" s="54"/>
      <c r="G242" s="54"/>
      <c r="H242" s="54"/>
      <c r="I242" s="54"/>
      <c r="J242" s="54"/>
      <c r="K242" s="54"/>
      <c r="L242" s="54"/>
      <c r="M242" s="54"/>
      <c r="N242" s="54"/>
      <c r="O242" s="54">
        <f>E242</f>
        <v>245700</v>
      </c>
      <c r="P242" s="8"/>
      <c r="Q242" s="53"/>
      <c r="R242" s="54">
        <v>400000</v>
      </c>
      <c r="S242" s="53">
        <f t="shared" si="14"/>
        <v>8000</v>
      </c>
      <c r="T242" s="53"/>
      <c r="U242" s="54">
        <v>392000</v>
      </c>
      <c r="V242" s="22" t="s">
        <v>141</v>
      </c>
      <c r="W242" s="54"/>
    </row>
    <row r="243" spans="1:23" ht="20.100000000000001" customHeight="1" x14ac:dyDescent="0.25">
      <c r="A243" s="17"/>
      <c r="B243" s="61"/>
      <c r="C243" s="57"/>
      <c r="D243" s="17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8"/>
      <c r="Q243" s="53"/>
      <c r="R243" s="54"/>
      <c r="S243" s="53"/>
      <c r="T243" s="53"/>
      <c r="U243" s="54"/>
      <c r="V243" s="22"/>
      <c r="W243" s="54">
        <f>SUM(O241:O243)-SUM(U241:U243)</f>
        <v>469350</v>
      </c>
    </row>
    <row r="244" spans="1:23" ht="20.100000000000001" customHeight="1" x14ac:dyDescent="0.25">
      <c r="A244" s="14">
        <v>62247</v>
      </c>
      <c r="B244" s="59"/>
      <c r="C244" s="60"/>
      <c r="D244" s="14"/>
      <c r="E244" s="50"/>
      <c r="F244" s="50"/>
      <c r="G244" s="50"/>
      <c r="H244" s="50"/>
      <c r="I244" s="50"/>
      <c r="J244" s="50"/>
      <c r="K244" s="50"/>
      <c r="L244" s="50"/>
      <c r="M244" s="50"/>
      <c r="N244" s="50"/>
      <c r="O244" s="50"/>
      <c r="P244" s="6">
        <v>62247</v>
      </c>
      <c r="Q244" s="52"/>
      <c r="R244" s="50"/>
      <c r="S244" s="52"/>
      <c r="T244" s="52"/>
      <c r="U244" s="50"/>
      <c r="V244" s="14"/>
      <c r="W244" s="50"/>
    </row>
    <row r="245" spans="1:23" ht="20.100000000000001" customHeight="1" x14ac:dyDescent="0.25">
      <c r="A245" s="17"/>
      <c r="B245" s="61" t="s">
        <v>120</v>
      </c>
      <c r="C245" s="58">
        <v>45443</v>
      </c>
      <c r="D245" s="54">
        <v>31</v>
      </c>
      <c r="E245" s="54">
        <v>1706250</v>
      </c>
      <c r="F245" s="54"/>
      <c r="G245" s="54">
        <f>E245-F245</f>
        <v>1706250</v>
      </c>
      <c r="H245" s="54">
        <f>ROUND(G245*18%,0)</f>
        <v>307125</v>
      </c>
      <c r="I245" s="54">
        <f>G245+H245</f>
        <v>2013375</v>
      </c>
      <c r="J245" s="54">
        <f>ROUND(G245*$J$12,0)</f>
        <v>34125</v>
      </c>
      <c r="K245" s="54">
        <f>G245*5%</f>
        <v>85312.5</v>
      </c>
      <c r="L245" s="54">
        <v>0</v>
      </c>
      <c r="M245" s="54">
        <f>H245</f>
        <v>307125</v>
      </c>
      <c r="N245" s="54">
        <f>G245*12%</f>
        <v>204750</v>
      </c>
      <c r="O245" s="54">
        <f>ROUND(I245-SUM(J245:N245),)</f>
        <v>1382063</v>
      </c>
      <c r="P245" s="8"/>
      <c r="Q245" s="53">
        <v>1706250</v>
      </c>
      <c r="R245" s="54">
        <v>1000000</v>
      </c>
      <c r="S245" s="53">
        <f t="shared" ref="S245:S246" si="15">R245*2%</f>
        <v>20000</v>
      </c>
      <c r="T245" s="53">
        <f>Q245-SUM(R245:R247)</f>
        <v>406250</v>
      </c>
      <c r="U245" s="54">
        <v>980000</v>
      </c>
      <c r="V245" s="18" t="s">
        <v>121</v>
      </c>
      <c r="W245" s="54"/>
    </row>
    <row r="246" spans="1:23" ht="20.100000000000001" customHeight="1" x14ac:dyDescent="0.25">
      <c r="A246" s="17"/>
      <c r="B246" s="61" t="s">
        <v>244</v>
      </c>
      <c r="C246" s="57"/>
      <c r="D246" s="17">
        <v>31</v>
      </c>
      <c r="E246" s="54">
        <f>M245</f>
        <v>307125</v>
      </c>
      <c r="F246" s="54"/>
      <c r="G246" s="54"/>
      <c r="H246" s="54"/>
      <c r="I246" s="54"/>
      <c r="J246" s="54"/>
      <c r="K246" s="54"/>
      <c r="L246" s="54"/>
      <c r="M246" s="54"/>
      <c r="N246" s="54"/>
      <c r="O246" s="54">
        <f>E246</f>
        <v>307125</v>
      </c>
      <c r="P246" s="8"/>
      <c r="Q246" s="53"/>
      <c r="R246" s="54">
        <v>300000</v>
      </c>
      <c r="S246" s="53">
        <f t="shared" si="15"/>
        <v>6000</v>
      </c>
      <c r="T246" s="53"/>
      <c r="U246" s="54">
        <v>294000</v>
      </c>
      <c r="V246" s="22" t="s">
        <v>142</v>
      </c>
      <c r="W246" s="54"/>
    </row>
    <row r="247" spans="1:23" ht="20.100000000000001" customHeight="1" x14ac:dyDescent="0.25">
      <c r="A247" s="17"/>
      <c r="B247" s="61"/>
      <c r="C247" s="57"/>
      <c r="D247" s="17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8"/>
      <c r="Q247" s="53"/>
      <c r="R247" s="54"/>
      <c r="S247" s="53"/>
      <c r="T247" s="53"/>
      <c r="U247" s="54"/>
      <c r="V247" s="22"/>
      <c r="W247" s="54">
        <f>SUM(O245:O246)-SUM(U245:U246)</f>
        <v>415188</v>
      </c>
    </row>
    <row r="248" spans="1:23" ht="20.100000000000001" customHeight="1" x14ac:dyDescent="0.25">
      <c r="A248" s="14">
        <v>60386</v>
      </c>
      <c r="B248" s="59"/>
      <c r="C248" s="60"/>
      <c r="D248" s="14"/>
      <c r="E248" s="50"/>
      <c r="F248" s="50"/>
      <c r="G248" s="50"/>
      <c r="H248" s="50"/>
      <c r="I248" s="50"/>
      <c r="J248" s="50"/>
      <c r="K248" s="50"/>
      <c r="L248" s="50"/>
      <c r="M248" s="50"/>
      <c r="N248" s="50"/>
      <c r="O248" s="50"/>
      <c r="P248" s="6">
        <v>60386</v>
      </c>
      <c r="Q248" s="52"/>
      <c r="R248" s="50"/>
      <c r="S248" s="52"/>
      <c r="T248" s="52"/>
      <c r="U248" s="50"/>
      <c r="V248" s="14"/>
      <c r="W248" s="50"/>
    </row>
    <row r="249" spans="1:23" ht="20.100000000000001" customHeight="1" x14ac:dyDescent="0.25">
      <c r="A249" s="17"/>
      <c r="B249" s="61" t="s">
        <v>168</v>
      </c>
      <c r="C249" s="57">
        <v>45367</v>
      </c>
      <c r="D249" s="17">
        <v>218</v>
      </c>
      <c r="E249" s="54">
        <v>3500000</v>
      </c>
      <c r="F249" s="54"/>
      <c r="G249" s="54">
        <f>E249-F249</f>
        <v>3500000</v>
      </c>
      <c r="H249" s="54">
        <f>ROUND(G249*18%,0)</f>
        <v>630000</v>
      </c>
      <c r="I249" s="54">
        <f>G249+H249</f>
        <v>4130000</v>
      </c>
      <c r="J249" s="54">
        <f>ROUND(G249*$J$12,0)</f>
        <v>70000</v>
      </c>
      <c r="K249" s="54">
        <f>G249*5%</f>
        <v>175000</v>
      </c>
      <c r="L249" s="54"/>
      <c r="M249" s="54">
        <f>H249</f>
        <v>630000</v>
      </c>
      <c r="N249" s="54">
        <v>420000</v>
      </c>
      <c r="O249" s="54">
        <f>ROUND(I249-SUM(J249:N249),)</f>
        <v>2835000</v>
      </c>
      <c r="P249" s="8"/>
      <c r="Q249" s="53">
        <v>3500000</v>
      </c>
      <c r="R249" s="54">
        <v>1500000</v>
      </c>
      <c r="S249" s="53">
        <f>R249*2%</f>
        <v>30000</v>
      </c>
      <c r="T249" s="53">
        <f>Q249-SUM(R249:R252)</f>
        <v>200000</v>
      </c>
      <c r="U249" s="54">
        <f t="shared" ref="U249:U250" si="16">R249-S249</f>
        <v>1470000</v>
      </c>
      <c r="V249" s="18" t="s">
        <v>75</v>
      </c>
      <c r="W249" s="54"/>
    </row>
    <row r="250" spans="1:23" ht="20.100000000000001" customHeight="1" x14ac:dyDescent="0.25">
      <c r="A250" s="17"/>
      <c r="B250" s="61" t="s">
        <v>244</v>
      </c>
      <c r="C250" s="57"/>
      <c r="D250" s="17">
        <v>218</v>
      </c>
      <c r="E250" s="54">
        <f>M249</f>
        <v>630000</v>
      </c>
      <c r="F250" s="54"/>
      <c r="G250" s="54"/>
      <c r="H250" s="54"/>
      <c r="I250" s="54"/>
      <c r="J250" s="54"/>
      <c r="K250" s="54"/>
      <c r="L250" s="54"/>
      <c r="M250" s="54"/>
      <c r="N250" s="54"/>
      <c r="O250" s="54">
        <f>E250</f>
        <v>630000</v>
      </c>
      <c r="P250" s="8"/>
      <c r="Q250" s="53"/>
      <c r="R250" s="54">
        <v>1000000</v>
      </c>
      <c r="S250" s="53">
        <f>R250*2%</f>
        <v>20000</v>
      </c>
      <c r="T250" s="53"/>
      <c r="U250" s="54">
        <f t="shared" si="16"/>
        <v>980000</v>
      </c>
      <c r="V250" s="18" t="s">
        <v>76</v>
      </c>
      <c r="W250" s="54"/>
    </row>
    <row r="251" spans="1:23" ht="20.100000000000001" customHeight="1" x14ac:dyDescent="0.25">
      <c r="A251" s="17"/>
      <c r="B251" s="61"/>
      <c r="C251" s="57"/>
      <c r="D251" s="17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8"/>
      <c r="Q251" s="53"/>
      <c r="R251" s="54">
        <v>800000</v>
      </c>
      <c r="S251" s="53">
        <f>R251*2%</f>
        <v>16000</v>
      </c>
      <c r="T251" s="53"/>
      <c r="U251" s="54">
        <f t="shared" ref="U251" si="17">R251-S251</f>
        <v>784000</v>
      </c>
      <c r="V251" s="18" t="s">
        <v>87</v>
      </c>
      <c r="W251" s="54"/>
    </row>
    <row r="252" spans="1:23" ht="20.100000000000001" customHeight="1" x14ac:dyDescent="0.25">
      <c r="A252" s="17"/>
      <c r="B252" s="61"/>
      <c r="C252" s="57"/>
      <c r="D252" s="17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8"/>
      <c r="Q252" s="53"/>
      <c r="R252" s="54"/>
      <c r="S252" s="53"/>
      <c r="T252" s="53"/>
      <c r="U252" s="54"/>
      <c r="V252" s="18"/>
      <c r="W252" s="54">
        <f>SUM(O249:O252)-SUM(U249:U252)</f>
        <v>231000</v>
      </c>
    </row>
    <row r="253" spans="1:23" ht="20.100000000000001" customHeight="1" x14ac:dyDescent="0.25">
      <c r="A253" s="14">
        <v>60385</v>
      </c>
      <c r="B253" s="59"/>
      <c r="C253" s="60"/>
      <c r="D253" s="14"/>
      <c r="E253" s="50"/>
      <c r="F253" s="50"/>
      <c r="G253" s="50"/>
      <c r="H253" s="50"/>
      <c r="I253" s="50"/>
      <c r="J253" s="50"/>
      <c r="K253" s="50"/>
      <c r="L253" s="50"/>
      <c r="M253" s="50"/>
      <c r="N253" s="50"/>
      <c r="O253" s="50"/>
      <c r="P253" s="6">
        <v>60385</v>
      </c>
      <c r="Q253" s="52"/>
      <c r="R253" s="50"/>
      <c r="S253" s="52"/>
      <c r="T253" s="52"/>
      <c r="U253" s="50"/>
      <c r="V253" s="14"/>
      <c r="W253" s="50"/>
    </row>
    <row r="254" spans="1:23" ht="20.100000000000001" customHeight="1" x14ac:dyDescent="0.25">
      <c r="A254" s="17"/>
      <c r="B254" s="61" t="s">
        <v>158</v>
      </c>
      <c r="C254" s="57">
        <v>45423</v>
      </c>
      <c r="D254" s="17">
        <v>17</v>
      </c>
      <c r="E254" s="54">
        <v>2475000</v>
      </c>
      <c r="F254" s="54"/>
      <c r="G254" s="54">
        <f>E254-F254</f>
        <v>2475000</v>
      </c>
      <c r="H254" s="54">
        <f>ROUND(G254*18%,0)</f>
        <v>445500</v>
      </c>
      <c r="I254" s="54">
        <f>G254+H254</f>
        <v>2920500</v>
      </c>
      <c r="J254" s="54">
        <f>ROUND(G254*$J$12,0)</f>
        <v>49500</v>
      </c>
      <c r="K254" s="54">
        <f>G254*5%</f>
        <v>123750</v>
      </c>
      <c r="L254" s="54">
        <v>0</v>
      </c>
      <c r="M254" s="54">
        <f>H254</f>
        <v>445500</v>
      </c>
      <c r="N254" s="54">
        <f>G254*12%</f>
        <v>297000</v>
      </c>
      <c r="O254" s="54">
        <f>ROUND(I254-SUM(J254:N254),)</f>
        <v>2004750</v>
      </c>
      <c r="P254" s="8"/>
      <c r="Q254" s="53">
        <v>2475000</v>
      </c>
      <c r="R254" s="54">
        <v>1500000</v>
      </c>
      <c r="S254" s="53">
        <f>R254*2%</f>
        <v>30000</v>
      </c>
      <c r="T254" s="53">
        <f>Q254-SUM(R254:R258)</f>
        <v>75000</v>
      </c>
      <c r="U254" s="54">
        <f t="shared" ref="U254:U255" si="18">R254-S254</f>
        <v>1470000</v>
      </c>
      <c r="V254" s="18" t="s">
        <v>72</v>
      </c>
      <c r="W254" s="54"/>
    </row>
    <row r="255" spans="1:23" ht="20.100000000000001" customHeight="1" x14ac:dyDescent="0.25">
      <c r="A255" s="17"/>
      <c r="B255" s="61" t="s">
        <v>244</v>
      </c>
      <c r="C255" s="57"/>
      <c r="D255" s="17">
        <v>17</v>
      </c>
      <c r="E255" s="54">
        <f>M254</f>
        <v>445500</v>
      </c>
      <c r="F255" s="54"/>
      <c r="G255" s="54"/>
      <c r="H255" s="54"/>
      <c r="I255" s="54"/>
      <c r="J255" s="54"/>
      <c r="K255" s="54"/>
      <c r="L255" s="54"/>
      <c r="M255" s="54"/>
      <c r="N255" s="54"/>
      <c r="O255" s="54">
        <f>E255</f>
        <v>445500</v>
      </c>
      <c r="P255" s="8"/>
      <c r="Q255" s="53"/>
      <c r="R255" s="54">
        <v>500000</v>
      </c>
      <c r="S255" s="53">
        <f>R255*2%</f>
        <v>10000</v>
      </c>
      <c r="T255" s="53"/>
      <c r="U255" s="54">
        <f t="shared" si="18"/>
        <v>490000</v>
      </c>
      <c r="V255" s="18" t="s">
        <v>77</v>
      </c>
      <c r="W255" s="54"/>
    </row>
    <row r="256" spans="1:23" ht="20.100000000000001" customHeight="1" x14ac:dyDescent="0.25">
      <c r="A256" s="17"/>
      <c r="B256" s="61"/>
      <c r="C256" s="57"/>
      <c r="D256" s="17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8"/>
      <c r="Q256" s="53"/>
      <c r="R256" s="54">
        <v>400000</v>
      </c>
      <c r="S256" s="53">
        <f>R256*2%</f>
        <v>8000</v>
      </c>
      <c r="T256" s="53"/>
      <c r="U256" s="54">
        <f t="shared" ref="U256" si="19">R256-S256</f>
        <v>392000</v>
      </c>
      <c r="V256" s="18" t="s">
        <v>88</v>
      </c>
      <c r="W256" s="54"/>
    </row>
    <row r="257" spans="1:65" ht="20.100000000000001" customHeight="1" x14ac:dyDescent="0.25">
      <c r="A257" s="17"/>
      <c r="B257" s="61"/>
      <c r="C257" s="57"/>
      <c r="D257" s="17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8"/>
      <c r="Q257" s="53"/>
      <c r="R257" s="54"/>
      <c r="S257" s="53"/>
      <c r="T257" s="53"/>
      <c r="U257" s="54"/>
      <c r="V257" s="18"/>
      <c r="W257" s="54"/>
    </row>
    <row r="258" spans="1:65" ht="20.100000000000001" customHeight="1" x14ac:dyDescent="0.25">
      <c r="A258" s="17"/>
      <c r="B258" s="61"/>
      <c r="C258" s="57"/>
      <c r="D258" s="17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8"/>
      <c r="Q258" s="53"/>
      <c r="R258" s="54"/>
      <c r="S258" s="53"/>
      <c r="T258" s="53"/>
      <c r="U258" s="54"/>
      <c r="V258" s="18"/>
      <c r="W258" s="54">
        <f>SUM(O254:O258)-SUM(U254:U258)</f>
        <v>98250</v>
      </c>
    </row>
    <row r="259" spans="1:65" ht="20.100000000000001" customHeight="1" x14ac:dyDescent="0.25">
      <c r="A259" s="59">
        <v>60384</v>
      </c>
      <c r="B259" s="59"/>
      <c r="C259" s="60"/>
      <c r="D259" s="14"/>
      <c r="E259" s="50"/>
      <c r="F259" s="50"/>
      <c r="G259" s="50"/>
      <c r="H259" s="50"/>
      <c r="I259" s="50"/>
      <c r="J259" s="50"/>
      <c r="K259" s="50"/>
      <c r="L259" s="50"/>
      <c r="M259" s="50"/>
      <c r="N259" s="50"/>
      <c r="O259" s="50"/>
      <c r="P259" s="62">
        <v>60384</v>
      </c>
      <c r="Q259" s="52"/>
      <c r="R259" s="50"/>
      <c r="S259" s="52"/>
      <c r="T259" s="52"/>
      <c r="U259" s="50"/>
      <c r="V259" s="14"/>
      <c r="W259" s="50"/>
    </row>
    <row r="260" spans="1:65" ht="20.100000000000001" customHeight="1" x14ac:dyDescent="0.25">
      <c r="B260" s="61" t="s">
        <v>159</v>
      </c>
      <c r="C260" s="57">
        <v>45370</v>
      </c>
      <c r="D260" s="17">
        <v>219</v>
      </c>
      <c r="E260" s="54">
        <v>3412500</v>
      </c>
      <c r="F260" s="54"/>
      <c r="G260" s="54">
        <f>E260-F260</f>
        <v>3412500</v>
      </c>
      <c r="H260" s="54">
        <f>ROUND(G260*18%,0)</f>
        <v>614250</v>
      </c>
      <c r="I260" s="54">
        <f>G260+H260</f>
        <v>4026750</v>
      </c>
      <c r="J260" s="54">
        <f>ROUND(G260*$J$12,0)</f>
        <v>68250</v>
      </c>
      <c r="K260" s="54">
        <f>G260*5%</f>
        <v>170625</v>
      </c>
      <c r="L260" s="54"/>
      <c r="M260" s="54">
        <f>H260</f>
        <v>614250</v>
      </c>
      <c r="N260" s="54">
        <v>409500</v>
      </c>
      <c r="O260" s="54">
        <f>ROUND(I260-SUM(J260:N260),)</f>
        <v>2764125</v>
      </c>
      <c r="Q260" s="53">
        <v>3412500</v>
      </c>
      <c r="R260" s="54">
        <v>1500000</v>
      </c>
      <c r="S260" s="53">
        <f>R260*2%</f>
        <v>30000</v>
      </c>
      <c r="T260" s="53">
        <f>Q260-SUM(R260:R265)</f>
        <v>212500</v>
      </c>
      <c r="U260" s="54">
        <f t="shared" ref="U260:U262" si="20">R260-S260</f>
        <v>1470000</v>
      </c>
      <c r="V260" s="18" t="s">
        <v>70</v>
      </c>
      <c r="W260" s="54"/>
    </row>
    <row r="261" spans="1:65" ht="20.100000000000001" customHeight="1" x14ac:dyDescent="0.25">
      <c r="A261" s="17"/>
      <c r="B261" s="61" t="s">
        <v>244</v>
      </c>
      <c r="C261" s="57"/>
      <c r="D261" s="17">
        <v>219</v>
      </c>
      <c r="E261" s="54">
        <f>M260</f>
        <v>614250</v>
      </c>
      <c r="F261" s="54"/>
      <c r="G261" s="54"/>
      <c r="H261" s="54"/>
      <c r="I261" s="54"/>
      <c r="J261" s="54"/>
      <c r="K261" s="54"/>
      <c r="L261" s="54"/>
      <c r="M261" s="54"/>
      <c r="N261" s="54"/>
      <c r="O261" s="54">
        <f>E261</f>
        <v>614250</v>
      </c>
      <c r="P261" s="8"/>
      <c r="Q261" s="53"/>
      <c r="R261" s="54">
        <v>1000000</v>
      </c>
      <c r="S261" s="53">
        <f>R261*2%</f>
        <v>20000</v>
      </c>
      <c r="T261" s="53"/>
      <c r="U261" s="54">
        <f t="shared" si="20"/>
        <v>980000</v>
      </c>
      <c r="V261" s="18" t="s">
        <v>78</v>
      </c>
      <c r="W261" s="54"/>
    </row>
    <row r="262" spans="1:65" ht="20.100000000000001" customHeight="1" x14ac:dyDescent="0.25">
      <c r="A262" s="17"/>
      <c r="B262" s="61"/>
      <c r="C262" s="57"/>
      <c r="D262" s="17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8"/>
      <c r="Q262" s="53"/>
      <c r="R262" s="54">
        <v>700000</v>
      </c>
      <c r="S262" s="53">
        <f>R262*2%</f>
        <v>14000</v>
      </c>
      <c r="T262" s="53"/>
      <c r="U262" s="54">
        <f t="shared" si="20"/>
        <v>686000</v>
      </c>
      <c r="V262" s="18" t="s">
        <v>86</v>
      </c>
      <c r="W262" s="54"/>
    </row>
    <row r="263" spans="1:65" ht="20.100000000000001" customHeight="1" x14ac:dyDescent="0.25">
      <c r="A263" s="17"/>
      <c r="B263" s="61"/>
      <c r="C263" s="57"/>
      <c r="D263" s="17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8"/>
      <c r="Q263" s="53"/>
      <c r="R263" s="54"/>
      <c r="S263" s="53"/>
      <c r="T263" s="53"/>
      <c r="U263" s="54"/>
      <c r="V263" s="18"/>
      <c r="W263" s="54"/>
    </row>
    <row r="264" spans="1:65" ht="20.100000000000001" customHeight="1" x14ac:dyDescent="0.25">
      <c r="A264" s="17"/>
      <c r="B264" s="61"/>
      <c r="C264" s="57"/>
      <c r="D264" s="17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8"/>
      <c r="Q264" s="53"/>
      <c r="R264" s="54"/>
      <c r="S264" s="53"/>
      <c r="T264" s="53"/>
      <c r="U264" s="54"/>
      <c r="V264" s="18"/>
      <c r="W264" s="54"/>
    </row>
    <row r="265" spans="1:65" ht="20.100000000000001" customHeight="1" x14ac:dyDescent="0.25">
      <c r="A265" s="17"/>
      <c r="B265" s="61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8"/>
      <c r="Q265" s="53"/>
      <c r="R265" s="54"/>
      <c r="S265" s="53"/>
      <c r="T265" s="53"/>
      <c r="U265" s="54"/>
      <c r="V265" s="18"/>
      <c r="W265" s="54">
        <f>SUM(O260:O265)-SUM(U260:U265)</f>
        <v>242375</v>
      </c>
    </row>
    <row r="266" spans="1:65" ht="20.100000000000001" customHeight="1" x14ac:dyDescent="0.25">
      <c r="A266" s="14">
        <v>60383</v>
      </c>
      <c r="B266" s="59"/>
      <c r="C266" s="60"/>
      <c r="D266" s="14"/>
      <c r="E266" s="50"/>
      <c r="F266" s="50"/>
      <c r="G266" s="50"/>
      <c r="H266" s="50"/>
      <c r="I266" s="50"/>
      <c r="J266" s="50"/>
      <c r="K266" s="50"/>
      <c r="L266" s="50"/>
      <c r="M266" s="50"/>
      <c r="N266" s="50"/>
      <c r="O266" s="50"/>
      <c r="P266" s="6">
        <v>60383</v>
      </c>
      <c r="Q266" s="52"/>
      <c r="R266" s="50"/>
      <c r="S266" s="52"/>
      <c r="T266" s="52"/>
      <c r="U266" s="50"/>
      <c r="V266" s="14"/>
      <c r="W266" s="50"/>
    </row>
    <row r="267" spans="1:65" ht="20.100000000000001" customHeight="1" x14ac:dyDescent="0.25">
      <c r="B267" s="61" t="s">
        <v>167</v>
      </c>
      <c r="C267" s="57">
        <v>45343</v>
      </c>
      <c r="D267" s="17">
        <v>194</v>
      </c>
      <c r="E267" s="54">
        <v>2950000</v>
      </c>
      <c r="F267" s="54"/>
      <c r="G267" s="54">
        <f>E267-F267</f>
        <v>2950000</v>
      </c>
      <c r="H267" s="54">
        <f>ROUND(G267*18%,0)</f>
        <v>531000</v>
      </c>
      <c r="I267" s="54">
        <f>G267+H267</f>
        <v>3481000</v>
      </c>
      <c r="J267" s="54">
        <f>ROUND(G267*$J$12,0)</f>
        <v>59000</v>
      </c>
      <c r="K267" s="54">
        <f>G267*5%</f>
        <v>147500</v>
      </c>
      <c r="L267" s="54"/>
      <c r="M267" s="54">
        <f>H267</f>
        <v>531000</v>
      </c>
      <c r="N267" s="54">
        <v>354000</v>
      </c>
      <c r="O267" s="54">
        <f>ROUND(I267-SUM(J267:N267),)</f>
        <v>2389500</v>
      </c>
      <c r="Q267" s="53">
        <v>2950000</v>
      </c>
      <c r="R267" s="54">
        <v>1500000</v>
      </c>
      <c r="S267" s="53">
        <f>R267*2%</f>
        <v>30000</v>
      </c>
      <c r="T267" s="53">
        <f>Q267-SUM(R267:R270)</f>
        <v>250000</v>
      </c>
      <c r="U267" s="54">
        <f t="shared" ref="U267:U269" si="21">R267-S267</f>
        <v>1470000</v>
      </c>
      <c r="V267" s="18" t="s">
        <v>71</v>
      </c>
      <c r="W267" s="54"/>
    </row>
    <row r="268" spans="1:65" ht="20.100000000000001" customHeight="1" x14ac:dyDescent="0.25">
      <c r="A268" s="17"/>
      <c r="B268" s="61" t="s">
        <v>244</v>
      </c>
      <c r="C268" s="57"/>
      <c r="D268" s="17">
        <v>194</v>
      </c>
      <c r="E268" s="54">
        <f>M267</f>
        <v>531000</v>
      </c>
      <c r="F268" s="54"/>
      <c r="G268" s="54"/>
      <c r="H268" s="54"/>
      <c r="I268" s="54"/>
      <c r="J268" s="54"/>
      <c r="K268" s="54"/>
      <c r="L268" s="54"/>
      <c r="M268" s="54"/>
      <c r="N268" s="54"/>
      <c r="O268" s="54">
        <f>E268</f>
        <v>531000</v>
      </c>
      <c r="P268" s="8"/>
      <c r="Q268" s="53"/>
      <c r="R268" s="54">
        <v>500000</v>
      </c>
      <c r="S268" s="53">
        <f>R268*2%</f>
        <v>10000</v>
      </c>
      <c r="T268" s="53"/>
      <c r="U268" s="54">
        <f t="shared" si="21"/>
        <v>490000</v>
      </c>
      <c r="V268" s="18" t="s">
        <v>79</v>
      </c>
      <c r="W268" s="54"/>
    </row>
    <row r="269" spans="1:65" ht="20.100000000000001" customHeight="1" x14ac:dyDescent="0.25">
      <c r="A269" s="17"/>
      <c r="B269" s="61"/>
      <c r="C269" s="57"/>
      <c r="D269" s="17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8"/>
      <c r="Q269" s="53"/>
      <c r="R269" s="54">
        <v>700000</v>
      </c>
      <c r="S269" s="53">
        <f>R269*2%</f>
        <v>14000</v>
      </c>
      <c r="T269" s="53"/>
      <c r="U269" s="54">
        <f t="shared" si="21"/>
        <v>686000</v>
      </c>
      <c r="V269" s="18" t="s">
        <v>85</v>
      </c>
      <c r="W269" s="54"/>
    </row>
    <row r="270" spans="1:65" ht="20.100000000000001" customHeight="1" x14ac:dyDescent="0.25">
      <c r="A270" s="17"/>
      <c r="B270" s="61"/>
      <c r="C270" s="57"/>
      <c r="D270" s="17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8"/>
      <c r="Q270" s="53"/>
      <c r="R270" s="54"/>
      <c r="S270" s="53"/>
      <c r="T270" s="53"/>
      <c r="U270" s="54"/>
      <c r="V270" s="18"/>
      <c r="W270" s="54"/>
    </row>
    <row r="271" spans="1:65" ht="20.100000000000001" customHeight="1" x14ac:dyDescent="0.25">
      <c r="A271" s="17"/>
      <c r="B271" s="61"/>
      <c r="C271" s="57"/>
      <c r="D271" s="17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8"/>
      <c r="Q271" s="53"/>
      <c r="R271" s="54"/>
      <c r="S271" s="53"/>
      <c r="T271" s="53"/>
      <c r="U271" s="54"/>
      <c r="V271" s="18"/>
      <c r="W271" s="54">
        <f>SUM(O267:O271)-SUM(U267:U271)</f>
        <v>274500</v>
      </c>
    </row>
    <row r="272" spans="1:65" s="16" customFormat="1" ht="20.100000000000001" customHeight="1" x14ac:dyDescent="0.25">
      <c r="A272" s="14">
        <v>60382</v>
      </c>
      <c r="B272" s="59"/>
      <c r="C272" s="60"/>
      <c r="D272" s="14"/>
      <c r="E272" s="50"/>
      <c r="F272" s="50"/>
      <c r="G272" s="50"/>
      <c r="H272" s="50"/>
      <c r="I272" s="50"/>
      <c r="J272" s="50"/>
      <c r="K272" s="50"/>
      <c r="L272" s="50"/>
      <c r="M272" s="50"/>
      <c r="N272" s="50"/>
      <c r="O272" s="50"/>
      <c r="P272" s="6">
        <v>60382</v>
      </c>
      <c r="Q272" s="52"/>
      <c r="R272" s="50"/>
      <c r="S272" s="52"/>
      <c r="T272" s="52"/>
      <c r="U272" s="50"/>
      <c r="V272" s="14"/>
      <c r="W272" s="50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</row>
    <row r="273" spans="1:65" ht="20.100000000000001" customHeight="1" x14ac:dyDescent="0.25">
      <c r="A273" s="17"/>
      <c r="B273" s="61" t="s">
        <v>166</v>
      </c>
      <c r="C273" s="57">
        <v>45371</v>
      </c>
      <c r="D273" s="17">
        <v>220</v>
      </c>
      <c r="E273" s="54">
        <v>3040000</v>
      </c>
      <c r="F273" s="54"/>
      <c r="G273" s="54">
        <f>E273-F273</f>
        <v>3040000</v>
      </c>
      <c r="H273" s="54">
        <f>ROUND(G273*18%,0)</f>
        <v>547200</v>
      </c>
      <c r="I273" s="54">
        <f>G273+H273</f>
        <v>3587200</v>
      </c>
      <c r="J273" s="54">
        <f>ROUND(G273*$J$12,0)</f>
        <v>60800</v>
      </c>
      <c r="K273" s="54">
        <f>G273*5%</f>
        <v>152000</v>
      </c>
      <c r="L273" s="54"/>
      <c r="M273" s="54">
        <f>H273</f>
        <v>547200</v>
      </c>
      <c r="N273" s="54">
        <f>G273*12%</f>
        <v>364800</v>
      </c>
      <c r="O273" s="54">
        <f>ROUND(I273-SUM(J273:N273),)</f>
        <v>2462400</v>
      </c>
      <c r="P273" s="8"/>
      <c r="Q273" s="53">
        <v>3040000</v>
      </c>
      <c r="R273" s="54">
        <v>1200000</v>
      </c>
      <c r="S273" s="53">
        <f>R273*2%</f>
        <v>24000</v>
      </c>
      <c r="T273" s="53">
        <f>Q273-SUM(R273:R276)</f>
        <v>140000</v>
      </c>
      <c r="U273" s="54">
        <f t="shared" ref="U273:U274" si="22">R273-S273</f>
        <v>1176000</v>
      </c>
      <c r="V273" s="18" t="s">
        <v>73</v>
      </c>
      <c r="W273" s="54"/>
    </row>
    <row r="274" spans="1:65" ht="20.100000000000001" customHeight="1" x14ac:dyDescent="0.25">
      <c r="A274" s="17"/>
      <c r="B274" s="61" t="s">
        <v>244</v>
      </c>
      <c r="C274" s="57"/>
      <c r="D274" s="17">
        <v>220</v>
      </c>
      <c r="E274" s="54">
        <f>M273</f>
        <v>547200</v>
      </c>
      <c r="F274" s="54"/>
      <c r="G274" s="54"/>
      <c r="H274" s="54"/>
      <c r="I274" s="54"/>
      <c r="J274" s="54"/>
      <c r="K274" s="54"/>
      <c r="L274" s="54"/>
      <c r="M274" s="54"/>
      <c r="N274" s="54"/>
      <c r="O274" s="54">
        <f>E274</f>
        <v>547200</v>
      </c>
      <c r="P274" s="8"/>
      <c r="Q274" s="53"/>
      <c r="R274" s="54">
        <v>1000000</v>
      </c>
      <c r="S274" s="53">
        <f>R274*2%</f>
        <v>20000</v>
      </c>
      <c r="T274" s="53"/>
      <c r="U274" s="54">
        <f t="shared" si="22"/>
        <v>980000</v>
      </c>
      <c r="V274" s="18" t="s">
        <v>80</v>
      </c>
      <c r="W274" s="54"/>
    </row>
    <row r="275" spans="1:65" ht="20.100000000000001" customHeight="1" x14ac:dyDescent="0.25">
      <c r="A275" s="17"/>
      <c r="B275" s="61"/>
      <c r="C275" s="57"/>
      <c r="D275" s="17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8"/>
      <c r="Q275" s="53"/>
      <c r="R275" s="54">
        <v>700000</v>
      </c>
      <c r="S275" s="53">
        <f>R275*2%</f>
        <v>14000</v>
      </c>
      <c r="T275" s="53"/>
      <c r="U275" s="54">
        <f t="shared" ref="U275" si="23">R275-S275</f>
        <v>686000</v>
      </c>
      <c r="V275" s="18" t="s">
        <v>84</v>
      </c>
      <c r="W275" s="54"/>
    </row>
    <row r="276" spans="1:65" ht="20.100000000000001" customHeight="1" x14ac:dyDescent="0.25">
      <c r="A276" s="17"/>
      <c r="B276" s="61"/>
      <c r="C276" s="57"/>
      <c r="D276" s="17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8"/>
      <c r="Q276" s="53"/>
      <c r="R276" s="54"/>
      <c r="S276" s="53"/>
      <c r="T276" s="53"/>
      <c r="U276" s="54"/>
      <c r="V276" s="18"/>
      <c r="W276" s="54">
        <f>SUM(O273:O276)-SUM(U273:U276)</f>
        <v>167600</v>
      </c>
    </row>
    <row r="277" spans="1:65" s="16" customFormat="1" ht="20.100000000000001" customHeight="1" x14ac:dyDescent="0.25">
      <c r="A277" s="14">
        <v>58727</v>
      </c>
      <c r="B277" s="59"/>
      <c r="C277" s="60"/>
      <c r="D277" s="14"/>
      <c r="E277" s="50"/>
      <c r="F277" s="50"/>
      <c r="G277" s="50"/>
      <c r="H277" s="50"/>
      <c r="I277" s="50"/>
      <c r="J277" s="50"/>
      <c r="K277" s="50"/>
      <c r="L277" s="50"/>
      <c r="M277" s="50"/>
      <c r="N277" s="50"/>
      <c r="O277" s="50"/>
      <c r="P277" s="6">
        <v>58727</v>
      </c>
      <c r="Q277" s="52"/>
      <c r="R277" s="50"/>
      <c r="S277" s="52"/>
      <c r="T277" s="52"/>
      <c r="U277" s="50"/>
      <c r="V277" s="14"/>
      <c r="W277" s="50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</row>
    <row r="278" spans="1:65" ht="20.100000000000001" customHeight="1" x14ac:dyDescent="0.25">
      <c r="A278" s="17"/>
      <c r="B278" s="61" t="s">
        <v>156</v>
      </c>
      <c r="C278" s="57">
        <v>45506</v>
      </c>
      <c r="D278" s="17">
        <v>73</v>
      </c>
      <c r="E278" s="54">
        <v>2137500</v>
      </c>
      <c r="F278" s="54"/>
      <c r="G278" s="54">
        <f>E278-F278</f>
        <v>2137500</v>
      </c>
      <c r="H278" s="54">
        <f>ROUND(G278*18%,0)</f>
        <v>384750</v>
      </c>
      <c r="I278" s="54">
        <f>G278+H278</f>
        <v>2522250</v>
      </c>
      <c r="J278" s="54">
        <f>ROUND(G278*$J$12,0)</f>
        <v>42750</v>
      </c>
      <c r="K278" s="54">
        <f>G278*5%</f>
        <v>106875</v>
      </c>
      <c r="L278" s="54"/>
      <c r="M278" s="54">
        <f>H278</f>
        <v>384750</v>
      </c>
      <c r="N278" s="54">
        <f>G278*12%</f>
        <v>256500</v>
      </c>
      <c r="O278" s="54">
        <f>ROUND(I278-SUM(J278:N278),)</f>
        <v>1731375</v>
      </c>
      <c r="P278" s="8"/>
      <c r="Q278" s="53">
        <v>2598750</v>
      </c>
      <c r="R278" s="54">
        <v>500000</v>
      </c>
      <c r="S278" s="53">
        <v>10000</v>
      </c>
      <c r="T278" s="53">
        <f>Q279-SUM(R278:R281)</f>
        <v>1068812.5</v>
      </c>
      <c r="U278" s="54">
        <v>490000</v>
      </c>
      <c r="V278" s="18" t="s">
        <v>240</v>
      </c>
      <c r="W278" s="54"/>
    </row>
    <row r="279" spans="1:65" ht="20.100000000000001" customHeight="1" x14ac:dyDescent="0.25">
      <c r="A279" s="17"/>
      <c r="B279" s="61" t="s">
        <v>244</v>
      </c>
      <c r="C279" s="57"/>
      <c r="D279" s="17">
        <v>73</v>
      </c>
      <c r="E279" s="54">
        <f>M278</f>
        <v>384750</v>
      </c>
      <c r="F279" s="54"/>
      <c r="G279" s="54"/>
      <c r="H279" s="54"/>
      <c r="I279" s="54"/>
      <c r="J279" s="54"/>
      <c r="K279" s="54"/>
      <c r="L279" s="54"/>
      <c r="M279" s="54"/>
      <c r="N279" s="54"/>
      <c r="O279" s="54">
        <f>E279</f>
        <v>384750</v>
      </c>
      <c r="P279" s="8"/>
      <c r="Q279" s="53">
        <f>Q278*95%</f>
        <v>2468812.5</v>
      </c>
      <c r="R279" s="54">
        <v>400000</v>
      </c>
      <c r="S279" s="53">
        <v>8000</v>
      </c>
      <c r="T279" s="53"/>
      <c r="U279" s="54">
        <v>392000</v>
      </c>
      <c r="V279" s="18" t="s">
        <v>242</v>
      </c>
      <c r="W279" s="54"/>
    </row>
    <row r="280" spans="1:65" ht="20.100000000000001" customHeight="1" x14ac:dyDescent="0.25">
      <c r="A280" s="17"/>
      <c r="B280" s="61"/>
      <c r="C280" s="57"/>
      <c r="D280" s="17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8"/>
      <c r="Q280" s="53"/>
      <c r="R280" s="54">
        <v>500000</v>
      </c>
      <c r="S280" s="53"/>
      <c r="T280" s="53"/>
      <c r="U280" s="54">
        <v>500000</v>
      </c>
      <c r="V280" s="18" t="s">
        <v>295</v>
      </c>
      <c r="W280" s="54"/>
    </row>
    <row r="281" spans="1:65" ht="20.100000000000001" customHeight="1" x14ac:dyDescent="0.25">
      <c r="A281" s="17"/>
      <c r="B281" s="61"/>
      <c r="C281" s="57"/>
      <c r="D281" s="17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8"/>
      <c r="Q281" s="53"/>
      <c r="R281" s="54"/>
      <c r="S281" s="53"/>
      <c r="T281" s="53"/>
      <c r="U281" s="54"/>
      <c r="V281" s="18"/>
      <c r="W281" s="54">
        <f>SUM(O278:O281)-SUM(U278:U281)</f>
        <v>734125</v>
      </c>
    </row>
    <row r="282" spans="1:65" s="16" customFormat="1" ht="20.100000000000001" customHeight="1" x14ac:dyDescent="0.25">
      <c r="A282" s="14">
        <v>58725</v>
      </c>
      <c r="B282" s="59"/>
      <c r="C282" s="60"/>
      <c r="D282" s="14"/>
      <c r="E282" s="50"/>
      <c r="F282" s="50"/>
      <c r="G282" s="50"/>
      <c r="H282" s="50"/>
      <c r="I282" s="50"/>
      <c r="J282" s="50"/>
      <c r="K282" s="50"/>
      <c r="L282" s="50"/>
      <c r="M282" s="50"/>
      <c r="N282" s="50"/>
      <c r="O282" s="50"/>
      <c r="P282" s="6">
        <v>58725</v>
      </c>
      <c r="Q282" s="52"/>
      <c r="R282" s="50"/>
      <c r="S282" s="52"/>
      <c r="T282" s="52"/>
      <c r="U282" s="50"/>
      <c r="V282" s="14"/>
      <c r="W282" s="50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</row>
    <row r="283" spans="1:65" ht="20.100000000000001" customHeight="1" x14ac:dyDescent="0.25">
      <c r="A283" s="17"/>
      <c r="B283" s="61" t="s">
        <v>155</v>
      </c>
      <c r="C283" s="57">
        <v>45647</v>
      </c>
      <c r="D283" s="17">
        <v>129</v>
      </c>
      <c r="E283" s="54">
        <v>2598750</v>
      </c>
      <c r="F283" s="54"/>
      <c r="G283" s="54">
        <f>E283-F283</f>
        <v>2598750</v>
      </c>
      <c r="H283" s="54">
        <f>ROUND(G283*18%,0)</f>
        <v>467775</v>
      </c>
      <c r="I283" s="54">
        <f>G283+H283</f>
        <v>3066525</v>
      </c>
      <c r="J283" s="54">
        <f>ROUND(G283*$J$12,0)</f>
        <v>51975</v>
      </c>
      <c r="K283" s="54">
        <f>G283*5%</f>
        <v>129937.5</v>
      </c>
      <c r="L283" s="54"/>
      <c r="M283" s="54">
        <f>H283</f>
        <v>467775</v>
      </c>
      <c r="N283" s="54">
        <f>Q283*12%+8%*Q283</f>
        <v>519750</v>
      </c>
      <c r="O283" s="54">
        <f>ROUND(I283-SUM(J283:N283),)</f>
        <v>1897088</v>
      </c>
      <c r="P283" s="8"/>
      <c r="Q283" s="53">
        <v>2598750</v>
      </c>
      <c r="R283" s="54">
        <v>500000</v>
      </c>
      <c r="S283" s="53">
        <v>10000</v>
      </c>
      <c r="T283" s="53">
        <f>Q283-SUM(R283:R287)</f>
        <v>298750</v>
      </c>
      <c r="U283" s="54">
        <v>490000</v>
      </c>
      <c r="V283" s="18" t="s">
        <v>241</v>
      </c>
      <c r="W283" s="54"/>
    </row>
    <row r="284" spans="1:65" ht="20.100000000000001" customHeight="1" x14ac:dyDescent="0.25">
      <c r="A284" s="17"/>
      <c r="B284" s="61" t="s">
        <v>244</v>
      </c>
      <c r="C284" s="57"/>
      <c r="D284" s="17">
        <v>129</v>
      </c>
      <c r="E284" s="54">
        <f>M283</f>
        <v>467775</v>
      </c>
      <c r="F284" s="54"/>
      <c r="G284" s="54"/>
      <c r="H284" s="54"/>
      <c r="I284" s="54"/>
      <c r="J284" s="54"/>
      <c r="K284" s="54"/>
      <c r="L284" s="54"/>
      <c r="M284" s="54"/>
      <c r="N284" s="54"/>
      <c r="O284" s="54">
        <f>E284</f>
        <v>467775</v>
      </c>
      <c r="P284" s="8"/>
      <c r="Q284" s="53"/>
      <c r="R284" s="54">
        <v>300000</v>
      </c>
      <c r="S284" s="53">
        <v>6000</v>
      </c>
      <c r="T284" s="53"/>
      <c r="U284" s="54">
        <v>294000</v>
      </c>
      <c r="V284" s="18" t="s">
        <v>243</v>
      </c>
      <c r="W284" s="54"/>
    </row>
    <row r="285" spans="1:65" ht="20.100000000000001" customHeight="1" x14ac:dyDescent="0.25">
      <c r="A285" s="17"/>
      <c r="B285" s="61"/>
      <c r="C285" s="57"/>
      <c r="D285" s="17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8"/>
      <c r="Q285" s="53"/>
      <c r="R285" s="54">
        <v>200000</v>
      </c>
      <c r="S285" s="53"/>
      <c r="T285" s="53"/>
      <c r="U285" s="54">
        <v>200000</v>
      </c>
      <c r="V285" s="18" t="s">
        <v>300</v>
      </c>
      <c r="W285" s="54"/>
    </row>
    <row r="286" spans="1:65" ht="20.100000000000001" customHeight="1" x14ac:dyDescent="0.25">
      <c r="A286" s="17"/>
      <c r="B286" s="61"/>
      <c r="C286" s="57"/>
      <c r="D286" s="17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8"/>
      <c r="Q286" s="53"/>
      <c r="R286" s="54">
        <v>300000</v>
      </c>
      <c r="S286" s="53"/>
      <c r="T286" s="53"/>
      <c r="U286" s="54">
        <v>300000</v>
      </c>
      <c r="V286" s="18" t="s">
        <v>301</v>
      </c>
      <c r="W286" s="54"/>
    </row>
    <row r="287" spans="1:65" ht="20.100000000000001" customHeight="1" x14ac:dyDescent="0.25">
      <c r="A287" s="17"/>
      <c r="B287" s="61"/>
      <c r="C287" s="57"/>
      <c r="D287" s="17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8"/>
      <c r="Q287" s="53"/>
      <c r="R287" s="54">
        <v>1000000</v>
      </c>
      <c r="S287" s="53"/>
      <c r="T287" s="53"/>
      <c r="U287" s="54">
        <v>1000000</v>
      </c>
      <c r="V287" s="75" t="s">
        <v>304</v>
      </c>
      <c r="W287" s="54">
        <f>SUM(O283:O287)-SUM(U283:U287)</f>
        <v>80863</v>
      </c>
    </row>
    <row r="288" spans="1:65" ht="20.100000000000001" customHeight="1" x14ac:dyDescent="0.25">
      <c r="A288" s="14">
        <v>58079</v>
      </c>
      <c r="B288" s="50"/>
      <c r="C288" s="50"/>
      <c r="D288" s="50"/>
      <c r="E288" s="50"/>
      <c r="F288" s="50"/>
      <c r="G288" s="50"/>
      <c r="H288" s="50"/>
      <c r="I288" s="50"/>
      <c r="J288" s="51"/>
      <c r="K288" s="51"/>
      <c r="L288" s="51"/>
      <c r="M288" s="50"/>
      <c r="N288" s="50"/>
      <c r="O288" s="50"/>
      <c r="P288" s="6">
        <v>58079</v>
      </c>
      <c r="Q288" s="52"/>
      <c r="R288" s="50"/>
      <c r="S288" s="52"/>
      <c r="T288" s="52"/>
      <c r="U288" s="50"/>
      <c r="V288" s="50"/>
      <c r="W288" s="50"/>
    </row>
    <row r="289" spans="1:65" ht="20.100000000000001" customHeight="1" x14ac:dyDescent="0.25">
      <c r="A289" s="1"/>
      <c r="B289" s="63" t="s">
        <v>164</v>
      </c>
      <c r="C289" s="57"/>
      <c r="D289" s="17"/>
      <c r="E289" s="54"/>
      <c r="F289" s="54"/>
      <c r="G289" s="54">
        <f>E289-F289</f>
        <v>0</v>
      </c>
      <c r="H289" s="54">
        <f>ROUND(G289*18%,0)</f>
        <v>0</v>
      </c>
      <c r="I289" s="54">
        <f>G289+H289</f>
        <v>0</v>
      </c>
      <c r="J289" s="54">
        <f>ROUND(G289*$J$12,0)</f>
        <v>0</v>
      </c>
      <c r="K289" s="54">
        <f>ROUND(G289*10%,0)</f>
        <v>0</v>
      </c>
      <c r="L289" s="54">
        <f>ROUND(G289*L12,0)</f>
        <v>0</v>
      </c>
      <c r="M289" s="54">
        <f>H289</f>
        <v>0</v>
      </c>
      <c r="N289" s="54">
        <v>0</v>
      </c>
      <c r="O289" s="54">
        <f>ROUND(I289-SUM(J289:N289),)</f>
        <v>0</v>
      </c>
      <c r="P289" s="8"/>
      <c r="Q289" s="53">
        <v>3150000</v>
      </c>
      <c r="R289" s="54">
        <v>500000</v>
      </c>
      <c r="S289" s="53">
        <f>R289*2%</f>
        <v>10000</v>
      </c>
      <c r="T289" s="53">
        <f>Q289-SUM(R289:R294)</f>
        <v>50000</v>
      </c>
      <c r="U289" s="54">
        <f>R289-S289</f>
        <v>490000</v>
      </c>
      <c r="V289" s="18" t="s">
        <v>17</v>
      </c>
      <c r="W289" s="54"/>
    </row>
    <row r="290" spans="1:65" ht="20.100000000000001" customHeight="1" x14ac:dyDescent="0.25">
      <c r="A290" s="17"/>
      <c r="B290" s="61"/>
      <c r="C290" s="57"/>
      <c r="D290" s="17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8"/>
      <c r="Q290" s="53"/>
      <c r="R290" s="54">
        <v>500000</v>
      </c>
      <c r="S290" s="53">
        <f t="shared" ref="S290:S293" si="24">R290*2%</f>
        <v>10000</v>
      </c>
      <c r="T290" s="53"/>
      <c r="U290" s="54">
        <f t="shared" ref="U290:U327" si="25">R290-S290</f>
        <v>490000</v>
      </c>
      <c r="V290" s="18" t="s">
        <v>41</v>
      </c>
      <c r="W290" s="54"/>
    </row>
    <row r="291" spans="1:65" ht="20.100000000000001" customHeight="1" x14ac:dyDescent="0.25">
      <c r="A291" s="17"/>
      <c r="B291" s="61"/>
      <c r="C291" s="57"/>
      <c r="D291" s="17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8"/>
      <c r="Q291" s="53"/>
      <c r="R291" s="54">
        <v>1000000</v>
      </c>
      <c r="S291" s="53">
        <f t="shared" si="24"/>
        <v>20000</v>
      </c>
      <c r="T291" s="53"/>
      <c r="U291" s="54">
        <f t="shared" si="25"/>
        <v>980000</v>
      </c>
      <c r="V291" s="18" t="s">
        <v>42</v>
      </c>
      <c r="W291" s="54"/>
    </row>
    <row r="292" spans="1:65" ht="20.100000000000001" customHeight="1" x14ac:dyDescent="0.25">
      <c r="A292" s="17"/>
      <c r="B292" s="61"/>
      <c r="C292" s="57"/>
      <c r="D292" s="17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>
        <f>E292</f>
        <v>0</v>
      </c>
      <c r="P292" s="8"/>
      <c r="Q292" s="53"/>
      <c r="R292" s="54">
        <v>500000</v>
      </c>
      <c r="S292" s="53">
        <f t="shared" si="24"/>
        <v>10000</v>
      </c>
      <c r="T292" s="53"/>
      <c r="U292" s="54">
        <f t="shared" si="25"/>
        <v>490000</v>
      </c>
      <c r="V292" s="18" t="s">
        <v>50</v>
      </c>
      <c r="W292" s="54"/>
    </row>
    <row r="293" spans="1:65" ht="20.100000000000001" customHeight="1" x14ac:dyDescent="0.25">
      <c r="A293" s="17"/>
      <c r="B293" s="61"/>
      <c r="C293" s="57"/>
      <c r="D293" s="17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8"/>
      <c r="Q293" s="53"/>
      <c r="R293" s="54">
        <v>600000</v>
      </c>
      <c r="S293" s="53">
        <f t="shared" si="24"/>
        <v>12000</v>
      </c>
      <c r="T293" s="53"/>
      <c r="U293" s="54">
        <f t="shared" si="25"/>
        <v>588000</v>
      </c>
      <c r="V293" s="18" t="s">
        <v>63</v>
      </c>
      <c r="W293" s="54"/>
    </row>
    <row r="294" spans="1:65" ht="20.100000000000001" customHeight="1" x14ac:dyDescent="0.25">
      <c r="A294" s="17"/>
      <c r="B294" s="61"/>
      <c r="C294" s="57"/>
      <c r="D294" s="17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8"/>
      <c r="Q294" s="53"/>
      <c r="R294" s="54"/>
      <c r="S294" s="53"/>
      <c r="T294" s="53"/>
      <c r="U294" s="54"/>
      <c r="V294" s="22"/>
      <c r="W294" s="54">
        <f>SUM(O289:O294)-SUM(U289:U294)</f>
        <v>-3038000</v>
      </c>
    </row>
    <row r="295" spans="1:65" ht="20.100000000000001" customHeight="1" x14ac:dyDescent="0.25">
      <c r="A295" s="14">
        <v>58078</v>
      </c>
      <c r="B295" s="50"/>
      <c r="C295" s="50"/>
      <c r="D295" s="50"/>
      <c r="E295" s="50"/>
      <c r="F295" s="50"/>
      <c r="G295" s="50"/>
      <c r="H295" s="50"/>
      <c r="I295" s="50"/>
      <c r="J295" s="51"/>
      <c r="K295" s="51"/>
      <c r="L295" s="51"/>
      <c r="M295" s="50"/>
      <c r="N295" s="50"/>
      <c r="O295" s="50"/>
      <c r="P295" s="6">
        <v>58078</v>
      </c>
      <c r="Q295" s="52"/>
      <c r="R295" s="50"/>
      <c r="S295" s="52"/>
      <c r="T295" s="52"/>
      <c r="U295" s="50"/>
      <c r="V295" s="50"/>
      <c r="W295" s="50"/>
    </row>
    <row r="296" spans="1:65" ht="20.100000000000001" customHeight="1" x14ac:dyDescent="0.25">
      <c r="A296" s="17"/>
      <c r="B296" s="61" t="s">
        <v>165</v>
      </c>
      <c r="C296" s="57">
        <v>45716</v>
      </c>
      <c r="D296" s="17">
        <v>148</v>
      </c>
      <c r="E296" s="54">
        <v>2756250</v>
      </c>
      <c r="F296" s="54"/>
      <c r="G296" s="54">
        <f>E296-F296</f>
        <v>2756250</v>
      </c>
      <c r="H296" s="54">
        <f>ROUND(G296*18%,0)</f>
        <v>496125</v>
      </c>
      <c r="I296" s="54">
        <f>G296+H296</f>
        <v>3252375</v>
      </c>
      <c r="J296" s="54">
        <f>ROUND(G296*$J$12,0)</f>
        <v>55125</v>
      </c>
      <c r="K296" s="54">
        <f>G296*5%</f>
        <v>137812.5</v>
      </c>
      <c r="L296" s="54"/>
      <c r="M296" s="54">
        <f>H296</f>
        <v>496125</v>
      </c>
      <c r="N296" s="54">
        <f>Q296*12%</f>
        <v>330750</v>
      </c>
      <c r="O296" s="54">
        <f>ROUND(I296-SUM(J296:N296),)</f>
        <v>2232563</v>
      </c>
      <c r="P296" s="8"/>
      <c r="Q296" s="53">
        <v>2756250</v>
      </c>
      <c r="R296" s="54">
        <v>1000000</v>
      </c>
      <c r="S296" s="53">
        <f>R296*2%</f>
        <v>20000</v>
      </c>
      <c r="T296" s="53">
        <f>Q296-SUM(R296:R300)</f>
        <v>256250</v>
      </c>
      <c r="U296" s="54">
        <f>R296-S296</f>
        <v>980000</v>
      </c>
      <c r="V296" s="18" t="s">
        <v>69</v>
      </c>
      <c r="W296" s="54"/>
    </row>
    <row r="297" spans="1:65" s="16" customFormat="1" ht="20.100000000000001" customHeight="1" x14ac:dyDescent="0.25">
      <c r="A297" s="17"/>
      <c r="B297" s="61" t="s">
        <v>244</v>
      </c>
      <c r="C297" s="57"/>
      <c r="D297" s="17">
        <v>14</v>
      </c>
      <c r="E297" s="54">
        <f>M296</f>
        <v>496125</v>
      </c>
      <c r="F297" s="54"/>
      <c r="G297" s="54"/>
      <c r="H297" s="54"/>
      <c r="I297" s="54"/>
      <c r="J297" s="54"/>
      <c r="K297" s="54"/>
      <c r="L297" s="54"/>
      <c r="M297" s="54"/>
      <c r="N297" s="54"/>
      <c r="O297" s="54">
        <f>E297</f>
        <v>496125</v>
      </c>
      <c r="P297" s="8"/>
      <c r="Q297" s="53"/>
      <c r="R297" s="54">
        <v>500000</v>
      </c>
      <c r="S297" s="53">
        <f t="shared" ref="S297:S298" si="26">R297*2%</f>
        <v>10000</v>
      </c>
      <c r="T297" s="53"/>
      <c r="U297" s="54">
        <f t="shared" ref="U297:U298" si="27">R297-S297</f>
        <v>490000</v>
      </c>
      <c r="V297" s="18" t="s">
        <v>74</v>
      </c>
      <c r="W297" s="54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9"/>
      <c r="BM297" s="9"/>
    </row>
    <row r="298" spans="1:65" ht="20.100000000000001" customHeight="1" x14ac:dyDescent="0.25">
      <c r="A298" s="17"/>
      <c r="B298" s="61"/>
      <c r="C298" s="57"/>
      <c r="D298" s="17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8"/>
      <c r="Q298" s="53"/>
      <c r="R298" s="54">
        <v>500000</v>
      </c>
      <c r="S298" s="53">
        <f t="shared" si="26"/>
        <v>10000</v>
      </c>
      <c r="T298" s="53"/>
      <c r="U298" s="54">
        <f t="shared" si="27"/>
        <v>490000</v>
      </c>
      <c r="V298" s="18" t="s">
        <v>81</v>
      </c>
      <c r="W298" s="54"/>
    </row>
    <row r="299" spans="1:65" ht="20.100000000000001" customHeight="1" x14ac:dyDescent="0.25">
      <c r="A299" s="17"/>
      <c r="B299" s="61"/>
      <c r="C299" s="57"/>
      <c r="D299" s="17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8"/>
      <c r="Q299" s="53"/>
      <c r="R299" s="54">
        <v>500000</v>
      </c>
      <c r="S299" s="53">
        <f t="shared" ref="S299" si="28">R299*2%</f>
        <v>10000</v>
      </c>
      <c r="T299" s="53"/>
      <c r="U299" s="54">
        <f t="shared" ref="U299" si="29">R299-S299</f>
        <v>490000</v>
      </c>
      <c r="V299" s="18" t="s">
        <v>83</v>
      </c>
      <c r="W299" s="54"/>
    </row>
    <row r="300" spans="1:65" ht="20.100000000000001" customHeight="1" x14ac:dyDescent="0.25">
      <c r="A300" s="17"/>
      <c r="B300" s="61"/>
      <c r="C300" s="57"/>
      <c r="D300" s="17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8"/>
      <c r="Q300" s="53"/>
      <c r="R300" s="54"/>
      <c r="S300" s="53"/>
      <c r="T300" s="53"/>
      <c r="U300" s="54"/>
      <c r="V300" s="22"/>
      <c r="W300" s="54">
        <f>SUM(O296:O300)-SUM(U296:U300)</f>
        <v>278688</v>
      </c>
    </row>
    <row r="301" spans="1:65" ht="20.100000000000001" customHeight="1" x14ac:dyDescent="0.25">
      <c r="A301" s="14">
        <v>58077</v>
      </c>
      <c r="B301" s="59"/>
      <c r="C301" s="60"/>
      <c r="D301" s="14"/>
      <c r="E301" s="50"/>
      <c r="F301" s="50">
        <v>0</v>
      </c>
      <c r="G301" s="50">
        <f>E301-F301</f>
        <v>0</v>
      </c>
      <c r="H301" s="50">
        <f>G301*18%</f>
        <v>0</v>
      </c>
      <c r="I301" s="50">
        <f>G301+H301</f>
        <v>0</v>
      </c>
      <c r="J301" s="50">
        <f>G301*$J$12</f>
        <v>0</v>
      </c>
      <c r="K301" s="50"/>
      <c r="L301" s="50"/>
      <c r="M301" s="50"/>
      <c r="N301" s="50"/>
      <c r="O301" s="50">
        <f>ROUND(I301-SUM(J301:M301),)</f>
        <v>0</v>
      </c>
      <c r="P301" s="6">
        <v>58077</v>
      </c>
      <c r="Q301" s="52"/>
      <c r="R301" s="50"/>
      <c r="S301" s="52">
        <v>0</v>
      </c>
      <c r="T301" s="52"/>
      <c r="U301" s="50"/>
      <c r="V301" s="14"/>
      <c r="W301" s="50"/>
    </row>
    <row r="302" spans="1:65" s="16" customFormat="1" ht="20.100000000000001" customHeight="1" x14ac:dyDescent="0.25">
      <c r="A302" s="1"/>
      <c r="B302" s="63" t="s">
        <v>248</v>
      </c>
      <c r="C302" s="57">
        <v>45412</v>
      </c>
      <c r="D302" s="17">
        <v>14</v>
      </c>
      <c r="E302" s="54">
        <v>2020000</v>
      </c>
      <c r="F302" s="54"/>
      <c r="G302" s="54">
        <f>E302-F302</f>
        <v>2020000</v>
      </c>
      <c r="H302" s="54">
        <f>ROUND(G302*18%,0)</f>
        <v>363600</v>
      </c>
      <c r="I302" s="54">
        <f>G302+H302</f>
        <v>2383600</v>
      </c>
      <c r="J302" s="54">
        <f>ROUND(G302*$J$12,0)</f>
        <v>40400</v>
      </c>
      <c r="K302" s="54">
        <f>G302*5%</f>
        <v>101000</v>
      </c>
      <c r="L302" s="54"/>
      <c r="M302" s="54">
        <f>H302</f>
        <v>363600</v>
      </c>
      <c r="N302" s="54">
        <f>G302*12%</f>
        <v>242400</v>
      </c>
      <c r="O302" s="54">
        <f>ROUND(I302-SUM(J302:N302),)</f>
        <v>1636200</v>
      </c>
      <c r="P302" s="8"/>
      <c r="Q302" s="53">
        <v>3150000</v>
      </c>
      <c r="R302" s="54">
        <v>500000</v>
      </c>
      <c r="S302" s="53">
        <f>R302*2%</f>
        <v>10000</v>
      </c>
      <c r="T302" s="53">
        <f>Q302-SUM(R302:R305)</f>
        <v>150000</v>
      </c>
      <c r="U302" s="54">
        <f t="shared" si="25"/>
        <v>490000</v>
      </c>
      <c r="V302" s="18" t="s">
        <v>18</v>
      </c>
      <c r="W302" s="54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</row>
    <row r="303" spans="1:65" ht="20.100000000000001" customHeight="1" x14ac:dyDescent="0.25">
      <c r="A303" s="17"/>
      <c r="B303" s="61" t="s">
        <v>244</v>
      </c>
      <c r="C303" s="57"/>
      <c r="D303" s="17">
        <v>14</v>
      </c>
      <c r="E303" s="54">
        <f>M302</f>
        <v>363600</v>
      </c>
      <c r="F303" s="54"/>
      <c r="G303" s="54"/>
      <c r="H303" s="54"/>
      <c r="I303" s="54"/>
      <c r="J303" s="54"/>
      <c r="K303" s="54"/>
      <c r="L303" s="54"/>
      <c r="M303" s="54"/>
      <c r="N303" s="54"/>
      <c r="O303" s="54">
        <f>E303</f>
        <v>363600</v>
      </c>
      <c r="P303" s="8"/>
      <c r="Q303" s="53"/>
      <c r="R303" s="54">
        <v>800000</v>
      </c>
      <c r="S303" s="53">
        <f t="shared" ref="S303:S305" si="30">R303*2%</f>
        <v>16000</v>
      </c>
      <c r="T303" s="53"/>
      <c r="U303" s="54">
        <f t="shared" si="25"/>
        <v>784000</v>
      </c>
      <c r="V303" s="18" t="s">
        <v>43</v>
      </c>
      <c r="W303" s="54"/>
    </row>
    <row r="304" spans="1:65" ht="20.100000000000001" customHeight="1" x14ac:dyDescent="0.25">
      <c r="A304" s="17"/>
      <c r="B304" s="61"/>
      <c r="C304" s="57"/>
      <c r="D304" s="17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8"/>
      <c r="Q304" s="53"/>
      <c r="R304" s="54">
        <v>500000</v>
      </c>
      <c r="S304" s="53">
        <f t="shared" si="30"/>
        <v>10000</v>
      </c>
      <c r="T304" s="53"/>
      <c r="U304" s="54">
        <f t="shared" si="25"/>
        <v>490000</v>
      </c>
      <c r="V304" s="18" t="s">
        <v>52</v>
      </c>
      <c r="W304" s="54"/>
    </row>
    <row r="305" spans="1:65" ht="20.100000000000001" customHeight="1" x14ac:dyDescent="0.25">
      <c r="A305" s="17"/>
      <c r="B305" s="61"/>
      <c r="C305" s="57"/>
      <c r="D305" s="17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8"/>
      <c r="Q305" s="53"/>
      <c r="R305" s="54">
        <v>1200000</v>
      </c>
      <c r="S305" s="53">
        <f t="shared" si="30"/>
        <v>24000</v>
      </c>
      <c r="T305" s="53"/>
      <c r="U305" s="54">
        <f t="shared" si="25"/>
        <v>1176000</v>
      </c>
      <c r="V305" s="18" t="s">
        <v>62</v>
      </c>
      <c r="W305" s="54">
        <f>SUM(O302:O305)-SUM(U302:U305)</f>
        <v>-940200</v>
      </c>
    </row>
    <row r="306" spans="1:65" ht="20.100000000000001" customHeight="1" x14ac:dyDescent="0.25">
      <c r="A306" s="14">
        <v>58076</v>
      </c>
      <c r="B306" s="59"/>
      <c r="C306" s="60"/>
      <c r="D306" s="14"/>
      <c r="E306" s="50"/>
      <c r="F306" s="50"/>
      <c r="G306" s="50"/>
      <c r="H306" s="50"/>
      <c r="I306" s="50"/>
      <c r="J306" s="50"/>
      <c r="K306" s="50"/>
      <c r="L306" s="50"/>
      <c r="M306" s="50"/>
      <c r="N306" s="50"/>
      <c r="O306" s="50"/>
      <c r="P306" s="6">
        <v>58076</v>
      </c>
      <c r="Q306" s="52"/>
      <c r="R306" s="50"/>
      <c r="S306" s="52"/>
      <c r="T306" s="52"/>
      <c r="U306" s="50"/>
      <c r="V306" s="14"/>
      <c r="W306" s="50"/>
    </row>
    <row r="307" spans="1:65" ht="20.100000000000001" customHeight="1" x14ac:dyDescent="0.25">
      <c r="B307" s="61" t="s">
        <v>215</v>
      </c>
      <c r="C307" s="57">
        <v>45797</v>
      </c>
      <c r="D307" s="17">
        <v>2</v>
      </c>
      <c r="E307" s="54">
        <f>Q307*30%</f>
        <v>1101375</v>
      </c>
      <c r="F307" s="54"/>
      <c r="G307" s="54">
        <f>E307-F307</f>
        <v>1101375</v>
      </c>
      <c r="H307" s="54">
        <f>ROUND(G307*18%,0)</f>
        <v>198248</v>
      </c>
      <c r="I307" s="54">
        <f>G307+H307</f>
        <v>1299623</v>
      </c>
      <c r="J307" s="54">
        <f>ROUND(G307*$J$12,0)</f>
        <v>22028</v>
      </c>
      <c r="K307" s="54">
        <f>G307*5%</f>
        <v>55068.75</v>
      </c>
      <c r="L307" s="54"/>
      <c r="M307" s="54">
        <f>H307</f>
        <v>198248</v>
      </c>
      <c r="N307" s="54">
        <f>Q307*12%</f>
        <v>440550</v>
      </c>
      <c r="O307" s="54">
        <f>ROUND(I307-SUM(J307:N307),)</f>
        <v>583728</v>
      </c>
      <c r="Q307" s="53">
        <v>3671250</v>
      </c>
      <c r="R307" s="54">
        <v>500000</v>
      </c>
      <c r="S307" s="53">
        <f>R307*2%</f>
        <v>10000</v>
      </c>
      <c r="T307" s="53">
        <f>Q308-SUM(R307:R313)</f>
        <v>-2298625</v>
      </c>
      <c r="U307" s="54">
        <f t="shared" si="25"/>
        <v>490000</v>
      </c>
      <c r="V307" s="18" t="s">
        <v>19</v>
      </c>
      <c r="W307" s="54"/>
    </row>
    <row r="308" spans="1:65" ht="20.100000000000001" customHeight="1" x14ac:dyDescent="0.25">
      <c r="A308" s="17"/>
      <c r="B308" s="61" t="s">
        <v>244</v>
      </c>
      <c r="C308" s="57"/>
      <c r="D308" s="17">
        <v>2</v>
      </c>
      <c r="E308" s="54">
        <f>M307</f>
        <v>198248</v>
      </c>
      <c r="F308" s="54"/>
      <c r="G308" s="54"/>
      <c r="H308" s="54"/>
      <c r="I308" s="54"/>
      <c r="J308" s="54"/>
      <c r="K308" s="54"/>
      <c r="L308" s="54"/>
      <c r="M308" s="54"/>
      <c r="N308" s="54"/>
      <c r="O308" s="54">
        <f>E308</f>
        <v>198248</v>
      </c>
      <c r="P308" s="8"/>
      <c r="Q308" s="53">
        <f>Q307*30%</f>
        <v>1101375</v>
      </c>
      <c r="R308" s="54">
        <v>500000</v>
      </c>
      <c r="S308" s="53">
        <f t="shared" ref="S308:S313" si="31">R308*2%</f>
        <v>10000</v>
      </c>
      <c r="T308" s="53"/>
      <c r="U308" s="54">
        <f t="shared" si="25"/>
        <v>490000</v>
      </c>
      <c r="V308" s="18" t="s">
        <v>33</v>
      </c>
      <c r="W308" s="54"/>
    </row>
    <row r="309" spans="1:65" ht="20.100000000000001" customHeight="1" x14ac:dyDescent="0.25">
      <c r="A309" s="17"/>
      <c r="B309" s="61"/>
      <c r="C309" s="57"/>
      <c r="D309" s="17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8"/>
      <c r="Q309" s="53"/>
      <c r="R309" s="54">
        <v>500000</v>
      </c>
      <c r="S309" s="53">
        <f t="shared" si="31"/>
        <v>10000</v>
      </c>
      <c r="T309" s="53"/>
      <c r="U309" s="54">
        <f t="shared" si="25"/>
        <v>490000</v>
      </c>
      <c r="V309" s="18" t="s">
        <v>34</v>
      </c>
      <c r="W309" s="54"/>
    </row>
    <row r="310" spans="1:65" s="16" customFormat="1" ht="20.100000000000001" customHeight="1" x14ac:dyDescent="0.25">
      <c r="A310" s="17"/>
      <c r="B310" s="61"/>
      <c r="C310" s="57"/>
      <c r="D310" s="17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8"/>
      <c r="Q310" s="53"/>
      <c r="R310" s="54">
        <v>500000</v>
      </c>
      <c r="S310" s="53">
        <f t="shared" si="31"/>
        <v>10000</v>
      </c>
      <c r="T310" s="53"/>
      <c r="U310" s="54">
        <f t="shared" si="25"/>
        <v>490000</v>
      </c>
      <c r="V310" s="18" t="s">
        <v>40</v>
      </c>
      <c r="W310" s="54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  <c r="BH310" s="9"/>
      <c r="BI310" s="9"/>
      <c r="BJ310" s="9"/>
      <c r="BK310" s="9"/>
      <c r="BL310" s="9"/>
      <c r="BM310" s="9"/>
    </row>
    <row r="311" spans="1:65" ht="20.100000000000001" customHeight="1" x14ac:dyDescent="0.25">
      <c r="A311" s="17"/>
      <c r="B311" s="61"/>
      <c r="C311" s="57"/>
      <c r="D311" s="17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8"/>
      <c r="Q311" s="53"/>
      <c r="R311" s="54">
        <v>300000</v>
      </c>
      <c r="S311" s="53">
        <f t="shared" si="31"/>
        <v>6000</v>
      </c>
      <c r="T311" s="53"/>
      <c r="U311" s="54">
        <f t="shared" si="25"/>
        <v>294000</v>
      </c>
      <c r="V311" s="18" t="s">
        <v>44</v>
      </c>
      <c r="W311" s="54"/>
    </row>
    <row r="312" spans="1:65" ht="20.100000000000001" customHeight="1" x14ac:dyDescent="0.25">
      <c r="A312" s="17"/>
      <c r="B312" s="61"/>
      <c r="C312" s="57"/>
      <c r="D312" s="17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8"/>
      <c r="Q312" s="53"/>
      <c r="R312" s="54">
        <v>600000</v>
      </c>
      <c r="S312" s="53">
        <f t="shared" si="31"/>
        <v>12000</v>
      </c>
      <c r="T312" s="53"/>
      <c r="U312" s="54">
        <f t="shared" si="25"/>
        <v>588000</v>
      </c>
      <c r="V312" s="18" t="s">
        <v>61</v>
      </c>
      <c r="W312" s="54"/>
    </row>
    <row r="313" spans="1:65" ht="20.100000000000001" customHeight="1" x14ac:dyDescent="0.25">
      <c r="A313" s="17"/>
      <c r="B313" s="61"/>
      <c r="C313" s="57"/>
      <c r="D313" s="17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8"/>
      <c r="Q313" s="53"/>
      <c r="R313" s="54">
        <v>500000</v>
      </c>
      <c r="S313" s="53">
        <f t="shared" si="31"/>
        <v>10000</v>
      </c>
      <c r="T313" s="53"/>
      <c r="U313" s="54">
        <f t="shared" si="25"/>
        <v>490000</v>
      </c>
      <c r="V313" s="18" t="s">
        <v>64</v>
      </c>
      <c r="W313" s="54">
        <f>SUM(O307:O313)-SUM(U307:U313)</f>
        <v>-2550024</v>
      </c>
    </row>
    <row r="314" spans="1:65" s="16" customFormat="1" ht="20.100000000000001" customHeight="1" x14ac:dyDescent="0.25">
      <c r="A314" s="14">
        <v>58073</v>
      </c>
      <c r="B314" s="59"/>
      <c r="C314" s="60"/>
      <c r="D314" s="14"/>
      <c r="E314" s="50"/>
      <c r="F314" s="50"/>
      <c r="G314" s="50"/>
      <c r="H314" s="50"/>
      <c r="I314" s="50"/>
      <c r="J314" s="50"/>
      <c r="K314" s="50"/>
      <c r="L314" s="50"/>
      <c r="M314" s="50"/>
      <c r="N314" s="50"/>
      <c r="O314" s="50"/>
      <c r="P314" s="6">
        <v>58073</v>
      </c>
      <c r="Q314" s="52"/>
      <c r="R314" s="50"/>
      <c r="S314" s="52"/>
      <c r="T314" s="52"/>
      <c r="U314" s="50"/>
      <c r="V314" s="14"/>
      <c r="W314" s="50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  <c r="BH314" s="9"/>
      <c r="BI314" s="9"/>
      <c r="BJ314" s="9"/>
      <c r="BK314" s="9"/>
      <c r="BL314" s="9"/>
      <c r="BM314" s="9"/>
    </row>
    <row r="315" spans="1:65" ht="20.100000000000001" customHeight="1" x14ac:dyDescent="0.25">
      <c r="A315" s="17"/>
      <c r="B315" s="61" t="s">
        <v>163</v>
      </c>
      <c r="C315" s="57">
        <v>45391</v>
      </c>
      <c r="D315" s="17">
        <v>5</v>
      </c>
      <c r="E315" s="54">
        <v>1365000</v>
      </c>
      <c r="F315" s="54"/>
      <c r="G315" s="54">
        <f>E315-F315</f>
        <v>1365000</v>
      </c>
      <c r="H315" s="54">
        <f>ROUND(G315*18%,0)</f>
        <v>245700</v>
      </c>
      <c r="I315" s="54">
        <f>G315+H315</f>
        <v>1610700</v>
      </c>
      <c r="J315" s="54">
        <f>ROUND(G315*$J$12,0)</f>
        <v>27300</v>
      </c>
      <c r="K315" s="54">
        <f>G315*5%</f>
        <v>68250</v>
      </c>
      <c r="L315" s="54"/>
      <c r="M315" s="54">
        <f>H315</f>
        <v>245700</v>
      </c>
      <c r="N315" s="54">
        <f>G315*12%</f>
        <v>163800</v>
      </c>
      <c r="O315" s="54">
        <f>ROUND(I315-SUM(J315:N315),)</f>
        <v>1105650</v>
      </c>
      <c r="P315" s="8"/>
      <c r="Q315" s="53">
        <v>1365000</v>
      </c>
      <c r="R315" s="54">
        <v>500000</v>
      </c>
      <c r="S315" s="53">
        <f>R315*2%</f>
        <v>10000</v>
      </c>
      <c r="T315" s="53">
        <f>Q315-SUM(R315:R317)</f>
        <v>-635000</v>
      </c>
      <c r="U315" s="54">
        <f>R315-S315</f>
        <v>490000</v>
      </c>
      <c r="V315" s="18" t="s">
        <v>39</v>
      </c>
      <c r="W315" s="54"/>
    </row>
    <row r="316" spans="1:65" ht="20.100000000000001" customHeight="1" x14ac:dyDescent="0.25">
      <c r="A316" s="17"/>
      <c r="B316" s="61" t="s">
        <v>244</v>
      </c>
      <c r="C316" s="57"/>
      <c r="D316" s="17">
        <v>5</v>
      </c>
      <c r="E316" s="54">
        <f>M315</f>
        <v>245700</v>
      </c>
      <c r="F316" s="54"/>
      <c r="G316" s="54"/>
      <c r="H316" s="54"/>
      <c r="I316" s="54"/>
      <c r="J316" s="54"/>
      <c r="K316" s="54"/>
      <c r="L316" s="54"/>
      <c r="M316" s="54"/>
      <c r="N316" s="54"/>
      <c r="O316" s="54">
        <f>E316</f>
        <v>245700</v>
      </c>
      <c r="P316" s="8"/>
      <c r="Q316" s="53"/>
      <c r="R316" s="54">
        <v>1000000</v>
      </c>
      <c r="S316" s="53">
        <f t="shared" ref="S316" si="32">R316*2%</f>
        <v>20000</v>
      </c>
      <c r="T316" s="53"/>
      <c r="U316" s="54">
        <f>R316-S316</f>
        <v>980000</v>
      </c>
      <c r="V316" s="18" t="s">
        <v>58</v>
      </c>
      <c r="W316" s="54"/>
    </row>
    <row r="317" spans="1:65" ht="20.100000000000001" customHeight="1" x14ac:dyDescent="0.25">
      <c r="A317" s="17"/>
      <c r="B317" s="61"/>
      <c r="C317" s="57"/>
      <c r="D317" s="17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8"/>
      <c r="Q317" s="53"/>
      <c r="R317" s="54">
        <v>500000</v>
      </c>
      <c r="S317" s="53">
        <f t="shared" ref="S317" si="33">R317*2%</f>
        <v>10000</v>
      </c>
      <c r="T317" s="53"/>
      <c r="U317" s="54">
        <f t="shared" ref="U317" si="34">R317-S317</f>
        <v>490000</v>
      </c>
      <c r="V317" s="18" t="s">
        <v>67</v>
      </c>
      <c r="W317" s="54">
        <f>SUM(O315:O317)-SUM(U315:U317)</f>
        <v>-608650</v>
      </c>
    </row>
    <row r="318" spans="1:65" ht="20.100000000000001" customHeight="1" x14ac:dyDescent="0.25">
      <c r="A318" s="14">
        <v>57818</v>
      </c>
      <c r="B318" s="59"/>
      <c r="C318" s="60"/>
      <c r="D318" s="14"/>
      <c r="E318" s="50"/>
      <c r="F318" s="50"/>
      <c r="G318" s="50"/>
      <c r="H318" s="50"/>
      <c r="I318" s="50"/>
      <c r="J318" s="50"/>
      <c r="K318" s="50"/>
      <c r="L318" s="50"/>
      <c r="M318" s="50"/>
      <c r="N318" s="50"/>
      <c r="O318" s="50"/>
      <c r="P318" s="6">
        <v>57818</v>
      </c>
      <c r="Q318" s="52"/>
      <c r="R318" s="50"/>
      <c r="S318" s="52"/>
      <c r="T318" s="52"/>
      <c r="U318" s="50"/>
      <c r="V318" s="14"/>
      <c r="W318" s="50"/>
    </row>
    <row r="319" spans="1:65" s="16" customFormat="1" ht="20.100000000000001" customHeight="1" x14ac:dyDescent="0.25">
      <c r="A319" s="17"/>
      <c r="B319" s="61" t="s">
        <v>162</v>
      </c>
      <c r="C319" s="57">
        <v>45557</v>
      </c>
      <c r="D319" s="17">
        <v>99</v>
      </c>
      <c r="E319" s="54">
        <v>3500000</v>
      </c>
      <c r="F319" s="54"/>
      <c r="G319" s="54">
        <f>E319-F319</f>
        <v>3500000</v>
      </c>
      <c r="H319" s="54">
        <f>ROUND(G319*18%,0)</f>
        <v>630000</v>
      </c>
      <c r="I319" s="54">
        <f>G319+H319</f>
        <v>4130000</v>
      </c>
      <c r="J319" s="54">
        <f>ROUND(G319*$J$12,0)</f>
        <v>70000</v>
      </c>
      <c r="K319" s="54">
        <f>G319*5%</f>
        <v>175000</v>
      </c>
      <c r="L319" s="54">
        <v>0</v>
      </c>
      <c r="M319" s="54">
        <f>H319</f>
        <v>630000</v>
      </c>
      <c r="N319" s="54">
        <f>G319*12%</f>
        <v>420000</v>
      </c>
      <c r="O319" s="54">
        <f>ROUND(I319-SUM(J319:N319),)</f>
        <v>2835000</v>
      </c>
      <c r="P319" s="8"/>
      <c r="Q319" s="53">
        <v>3500000</v>
      </c>
      <c r="R319" s="54">
        <v>500000</v>
      </c>
      <c r="S319" s="53">
        <f>R319*2%</f>
        <v>10000</v>
      </c>
      <c r="T319" s="53">
        <f>Q319-SUM(R319:R322)</f>
        <v>0</v>
      </c>
      <c r="U319" s="54">
        <f>R319-S319</f>
        <v>490000</v>
      </c>
      <c r="V319" s="18" t="s">
        <v>35</v>
      </c>
      <c r="W319" s="54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  <c r="BH319" s="9"/>
      <c r="BI319" s="9"/>
      <c r="BJ319" s="9"/>
      <c r="BK319" s="9"/>
      <c r="BL319" s="9"/>
      <c r="BM319" s="9"/>
    </row>
    <row r="320" spans="1:65" ht="20.100000000000001" customHeight="1" x14ac:dyDescent="0.25">
      <c r="A320" s="17"/>
      <c r="B320" s="71" t="s">
        <v>244</v>
      </c>
      <c r="C320" s="57"/>
      <c r="D320" s="17">
        <v>99</v>
      </c>
      <c r="E320" s="54">
        <f>M319</f>
        <v>630000</v>
      </c>
      <c r="F320" s="54"/>
      <c r="G320" s="54"/>
      <c r="H320" s="54"/>
      <c r="I320" s="54"/>
      <c r="J320" s="54"/>
      <c r="K320" s="54"/>
      <c r="L320" s="54"/>
      <c r="M320" s="54"/>
      <c r="N320" s="54"/>
      <c r="O320" s="54">
        <f>E320</f>
        <v>630000</v>
      </c>
      <c r="P320" s="8"/>
      <c r="Q320" s="53"/>
      <c r="R320" s="54">
        <v>500000</v>
      </c>
      <c r="S320" s="53">
        <f t="shared" ref="S320:S322" si="35">R320*2%</f>
        <v>10000</v>
      </c>
      <c r="T320" s="53"/>
      <c r="U320" s="54">
        <f>R320-S320</f>
        <v>490000</v>
      </c>
      <c r="V320" s="18" t="s">
        <v>36</v>
      </c>
      <c r="W320" s="54"/>
    </row>
    <row r="321" spans="1:65" ht="20.100000000000001" customHeight="1" x14ac:dyDescent="0.25">
      <c r="A321" s="17"/>
      <c r="B321" s="61"/>
      <c r="C321" s="57"/>
      <c r="D321" s="17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8"/>
      <c r="Q321" s="53"/>
      <c r="R321" s="54">
        <v>1500000</v>
      </c>
      <c r="S321" s="53">
        <f t="shared" si="35"/>
        <v>30000</v>
      </c>
      <c r="T321" s="53"/>
      <c r="U321" s="54">
        <f>R321-S321</f>
        <v>1470000</v>
      </c>
      <c r="V321" s="18" t="s">
        <v>57</v>
      </c>
      <c r="W321" s="54"/>
    </row>
    <row r="322" spans="1:65" ht="20.100000000000001" customHeight="1" x14ac:dyDescent="0.25">
      <c r="A322" s="17"/>
      <c r="B322" s="61"/>
      <c r="C322" s="57"/>
      <c r="D322" s="17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8"/>
      <c r="Q322" s="53"/>
      <c r="R322" s="54">
        <v>1000000</v>
      </c>
      <c r="S322" s="53">
        <f t="shared" si="35"/>
        <v>20000</v>
      </c>
      <c r="T322" s="53"/>
      <c r="U322" s="54">
        <f>R322-S322</f>
        <v>980000</v>
      </c>
      <c r="V322" s="18" t="s">
        <v>59</v>
      </c>
      <c r="W322" s="54">
        <f>SUM(O319:O322)-SUM(U319:U322)</f>
        <v>35000</v>
      </c>
    </row>
    <row r="323" spans="1:65" ht="20.100000000000001" customHeight="1" x14ac:dyDescent="0.25">
      <c r="A323" s="14">
        <v>57817</v>
      </c>
      <c r="B323" s="59"/>
      <c r="C323" s="60"/>
      <c r="D323" s="14"/>
      <c r="E323" s="50"/>
      <c r="F323" s="50"/>
      <c r="G323" s="50"/>
      <c r="H323" s="50"/>
      <c r="I323" s="50"/>
      <c r="J323" s="50"/>
      <c r="K323" s="50"/>
      <c r="L323" s="50"/>
      <c r="M323" s="50"/>
      <c r="N323" s="50"/>
      <c r="O323" s="50"/>
      <c r="P323" s="6">
        <v>57817</v>
      </c>
      <c r="Q323" s="52"/>
      <c r="R323" s="50"/>
      <c r="S323" s="52"/>
      <c r="T323" s="52"/>
      <c r="U323" s="50"/>
      <c r="V323" s="14"/>
      <c r="W323" s="50"/>
    </row>
    <row r="324" spans="1:65" ht="20.100000000000001" customHeight="1" x14ac:dyDescent="0.25">
      <c r="A324" s="17"/>
      <c r="B324" s="61" t="s">
        <v>274</v>
      </c>
      <c r="C324" s="57" t="s">
        <v>272</v>
      </c>
      <c r="D324" s="17">
        <v>80</v>
      </c>
      <c r="E324" s="54">
        <v>2475000</v>
      </c>
      <c r="F324" s="54"/>
      <c r="G324" s="54">
        <f>E324-F324</f>
        <v>2475000</v>
      </c>
      <c r="H324" s="54">
        <f>ROUND(G324*18%,0)</f>
        <v>445500</v>
      </c>
      <c r="I324" s="54">
        <f>G324+H324</f>
        <v>2920500</v>
      </c>
      <c r="J324" s="54">
        <f>ROUND(G324*$J$12,0)</f>
        <v>49500</v>
      </c>
      <c r="K324" s="54">
        <f>G324*5%</f>
        <v>123750</v>
      </c>
      <c r="L324" s="54">
        <v>0</v>
      </c>
      <c r="M324" s="54">
        <f>H324</f>
        <v>445500</v>
      </c>
      <c r="N324" s="54">
        <f>G324*12%</f>
        <v>297000</v>
      </c>
      <c r="O324" s="54">
        <f>ROUND(I324-SUM(J324:N324),)</f>
        <v>2004750</v>
      </c>
      <c r="P324" s="8"/>
      <c r="Q324" s="53">
        <v>2475000</v>
      </c>
      <c r="R324" s="54">
        <v>500000</v>
      </c>
      <c r="S324" s="53">
        <f>R324*2%</f>
        <v>10000</v>
      </c>
      <c r="T324" s="53">
        <f>Q324-SUM(R324:R328)</f>
        <v>25000</v>
      </c>
      <c r="U324" s="54">
        <f t="shared" si="25"/>
        <v>490000</v>
      </c>
      <c r="V324" s="18" t="s">
        <v>20</v>
      </c>
      <c r="W324" s="54"/>
    </row>
    <row r="325" spans="1:65" ht="20.100000000000001" customHeight="1" x14ac:dyDescent="0.25">
      <c r="A325" s="17"/>
      <c r="B325" s="61" t="s">
        <v>244</v>
      </c>
      <c r="C325" s="57"/>
      <c r="D325" s="17">
        <v>80</v>
      </c>
      <c r="E325" s="54">
        <f>M324</f>
        <v>445500</v>
      </c>
      <c r="F325" s="54"/>
      <c r="G325" s="54"/>
      <c r="H325" s="54"/>
      <c r="I325" s="54"/>
      <c r="J325" s="54"/>
      <c r="K325" s="54"/>
      <c r="L325" s="54"/>
      <c r="M325" s="54"/>
      <c r="N325" s="54"/>
      <c r="O325" s="54">
        <f>E325</f>
        <v>445500</v>
      </c>
      <c r="P325" s="8"/>
      <c r="Q325" s="53"/>
      <c r="R325" s="54">
        <v>500000</v>
      </c>
      <c r="S325" s="53">
        <f t="shared" ref="S325:S327" si="36">R325*2%</f>
        <v>10000</v>
      </c>
      <c r="T325" s="53"/>
      <c r="U325" s="54">
        <f t="shared" si="25"/>
        <v>490000</v>
      </c>
      <c r="V325" s="18" t="s">
        <v>32</v>
      </c>
      <c r="W325" s="54"/>
    </row>
    <row r="326" spans="1:65" s="16" customFormat="1" ht="20.100000000000001" customHeight="1" x14ac:dyDescent="0.25">
      <c r="A326" s="17"/>
      <c r="B326" s="61"/>
      <c r="C326" s="57"/>
      <c r="D326" s="17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8"/>
      <c r="Q326" s="53"/>
      <c r="R326" s="54">
        <v>1000000</v>
      </c>
      <c r="S326" s="53">
        <f t="shared" si="36"/>
        <v>20000</v>
      </c>
      <c r="T326" s="53"/>
      <c r="U326" s="54">
        <f t="shared" si="25"/>
        <v>980000</v>
      </c>
      <c r="V326" s="18" t="s">
        <v>51</v>
      </c>
      <c r="W326" s="54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  <c r="BH326" s="9"/>
      <c r="BI326" s="9"/>
      <c r="BJ326" s="9"/>
      <c r="BK326" s="9"/>
      <c r="BL326" s="9"/>
      <c r="BM326" s="9"/>
    </row>
    <row r="327" spans="1:65" ht="20.100000000000001" customHeight="1" x14ac:dyDescent="0.25">
      <c r="A327" s="17"/>
      <c r="B327" s="61"/>
      <c r="C327" s="57"/>
      <c r="D327" s="17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8"/>
      <c r="Q327" s="53"/>
      <c r="R327" s="54">
        <v>450000</v>
      </c>
      <c r="S327" s="53">
        <f t="shared" si="36"/>
        <v>9000</v>
      </c>
      <c r="T327" s="53"/>
      <c r="U327" s="54">
        <f t="shared" si="25"/>
        <v>441000</v>
      </c>
      <c r="V327" s="18" t="s">
        <v>60</v>
      </c>
      <c r="W327" s="54"/>
    </row>
    <row r="328" spans="1:65" ht="20.100000000000001" customHeight="1" x14ac:dyDescent="0.25">
      <c r="A328" s="17"/>
      <c r="B328" s="61"/>
      <c r="C328" s="57"/>
      <c r="D328" s="17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8"/>
      <c r="Q328" s="53"/>
      <c r="R328" s="54"/>
      <c r="S328" s="53"/>
      <c r="T328" s="53"/>
      <c r="U328" s="54"/>
      <c r="V328" s="22"/>
      <c r="W328" s="54">
        <f>SUM(O324:O328)-SUM(U324:U328)</f>
        <v>49250</v>
      </c>
    </row>
    <row r="329" spans="1:65" ht="20.100000000000001" customHeight="1" x14ac:dyDescent="0.25">
      <c r="A329" s="14">
        <v>57815</v>
      </c>
      <c r="B329" s="59"/>
      <c r="C329" s="60"/>
      <c r="D329" s="14"/>
      <c r="E329" s="50"/>
      <c r="F329" s="50"/>
      <c r="G329" s="50"/>
      <c r="H329" s="50"/>
      <c r="I329" s="50"/>
      <c r="J329" s="50"/>
      <c r="K329" s="50"/>
      <c r="L329" s="50"/>
      <c r="M329" s="50"/>
      <c r="N329" s="50"/>
      <c r="O329" s="50"/>
      <c r="P329" s="6">
        <v>57815</v>
      </c>
      <c r="Q329" s="52"/>
      <c r="R329" s="50"/>
      <c r="S329" s="52"/>
      <c r="T329" s="52"/>
      <c r="U329" s="50"/>
      <c r="V329" s="14"/>
      <c r="W329" s="50"/>
    </row>
    <row r="330" spans="1:65" ht="20.100000000000001" customHeight="1" x14ac:dyDescent="0.25">
      <c r="A330" s="17"/>
      <c r="B330" s="71" t="s">
        <v>281</v>
      </c>
      <c r="C330" s="57">
        <v>45175</v>
      </c>
      <c r="D330" s="17" t="s">
        <v>38</v>
      </c>
      <c r="E330" s="54">
        <v>1240312</v>
      </c>
      <c r="F330" s="54"/>
      <c r="G330" s="54">
        <f>E330-F330</f>
        <v>1240312</v>
      </c>
      <c r="H330" s="54">
        <f>ROUND(G330*18%,0)</f>
        <v>223256</v>
      </c>
      <c r="I330" s="54">
        <f>G330+H330</f>
        <v>1463568</v>
      </c>
      <c r="J330" s="54">
        <f>ROUND(G330*$J$12,0)</f>
        <v>24806</v>
      </c>
      <c r="K330" s="54">
        <f>G330*5%</f>
        <v>62015.600000000006</v>
      </c>
      <c r="L330" s="54">
        <f>G330*10%</f>
        <v>124031.20000000001</v>
      </c>
      <c r="M330" s="54">
        <f>H330</f>
        <v>223256</v>
      </c>
      <c r="N330" s="54">
        <v>0</v>
      </c>
      <c r="O330" s="54">
        <f>ROUND(I330-SUM(J330:N330),)</f>
        <v>1029459</v>
      </c>
      <c r="P330" s="8"/>
      <c r="Q330" s="53">
        <v>2756250</v>
      </c>
      <c r="R330" s="54">
        <v>1000000</v>
      </c>
      <c r="S330" s="53">
        <f>R330*2%</f>
        <v>20000</v>
      </c>
      <c r="T330" s="53">
        <f>Q330-SUM(R330:R335)</f>
        <v>-493210</v>
      </c>
      <c r="U330" s="54">
        <f t="shared" ref="U330:U362" si="37">R330-S330</f>
        <v>980000</v>
      </c>
      <c r="V330" s="18" t="s">
        <v>21</v>
      </c>
      <c r="W330" s="54"/>
    </row>
    <row r="331" spans="1:65" s="16" customFormat="1" ht="20.100000000000001" customHeight="1" x14ac:dyDescent="0.25">
      <c r="A331" s="17"/>
      <c r="B331" s="61"/>
      <c r="C331" s="57">
        <v>45317</v>
      </c>
      <c r="D331" s="17">
        <v>136</v>
      </c>
      <c r="E331" s="54">
        <v>1515937</v>
      </c>
      <c r="F331" s="54"/>
      <c r="G331" s="54">
        <f>E331-F331</f>
        <v>1515937</v>
      </c>
      <c r="H331" s="54">
        <f>ROUND(G331*18%,0)</f>
        <v>272869</v>
      </c>
      <c r="I331" s="54">
        <f>G331+H331</f>
        <v>1788806</v>
      </c>
      <c r="J331" s="54">
        <f>ROUND(G331*$J$12,0)</f>
        <v>30319</v>
      </c>
      <c r="K331" s="54">
        <f>G331*5%</f>
        <v>75796.850000000006</v>
      </c>
      <c r="L331" s="54"/>
      <c r="M331" s="54">
        <f>H331</f>
        <v>272869</v>
      </c>
      <c r="N331" s="54">
        <v>330750</v>
      </c>
      <c r="O331" s="54">
        <f>ROUND(I331-SUM(J331:N331),)</f>
        <v>1079071</v>
      </c>
      <c r="P331" s="8"/>
      <c r="Q331" s="53"/>
      <c r="R331" s="54">
        <v>49460</v>
      </c>
      <c r="S331" s="53"/>
      <c r="T331" s="53"/>
      <c r="U331" s="54">
        <v>49460</v>
      </c>
      <c r="V331" s="19" t="s">
        <v>217</v>
      </c>
      <c r="W331" s="54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  <c r="BH331" s="9"/>
      <c r="BI331" s="9"/>
      <c r="BJ331" s="9"/>
      <c r="BK331" s="9"/>
      <c r="BL331" s="9"/>
      <c r="BM331" s="9"/>
    </row>
    <row r="332" spans="1:65" ht="20.100000000000001" customHeight="1" x14ac:dyDescent="0.25">
      <c r="A332" s="17"/>
      <c r="B332" s="61" t="s">
        <v>244</v>
      </c>
      <c r="C332" s="57"/>
      <c r="D332" s="17" t="s">
        <v>245</v>
      </c>
      <c r="E332" s="54">
        <f>M330+M331</f>
        <v>496125</v>
      </c>
      <c r="F332" s="54"/>
      <c r="G332" s="54"/>
      <c r="H332" s="54"/>
      <c r="I332" s="54"/>
      <c r="J332" s="54"/>
      <c r="K332" s="54"/>
      <c r="L332" s="54"/>
      <c r="M332" s="54"/>
      <c r="N332" s="54"/>
      <c r="O332" s="54">
        <f>E332</f>
        <v>496125</v>
      </c>
      <c r="P332" s="8"/>
      <c r="Q332" s="53"/>
      <c r="R332" s="54">
        <v>1000000</v>
      </c>
      <c r="S332" s="53">
        <f t="shared" ref="S332:S334" si="38">R332*2%</f>
        <v>20000</v>
      </c>
      <c r="T332" s="53"/>
      <c r="U332" s="54">
        <f t="shared" si="37"/>
        <v>980000</v>
      </c>
      <c r="V332" s="19" t="s">
        <v>45</v>
      </c>
      <c r="W332" s="54"/>
    </row>
    <row r="333" spans="1:65" ht="20.100000000000001" customHeight="1" x14ac:dyDescent="0.25">
      <c r="A333" s="17"/>
      <c r="B333" s="61"/>
      <c r="C333" s="57"/>
      <c r="D333" s="17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8"/>
      <c r="Q333" s="53"/>
      <c r="R333" s="54">
        <v>700000</v>
      </c>
      <c r="S333" s="53">
        <f t="shared" si="38"/>
        <v>14000</v>
      </c>
      <c r="T333" s="53"/>
      <c r="U333" s="54">
        <f t="shared" si="37"/>
        <v>686000</v>
      </c>
      <c r="V333" s="74" t="s">
        <v>288</v>
      </c>
      <c r="W333" s="54"/>
    </row>
    <row r="334" spans="1:65" ht="20.100000000000001" customHeight="1" x14ac:dyDescent="0.25">
      <c r="A334" s="17"/>
      <c r="B334" s="61"/>
      <c r="C334" s="57"/>
      <c r="D334" s="17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8"/>
      <c r="Q334" s="53"/>
      <c r="R334" s="54">
        <v>500000</v>
      </c>
      <c r="S334" s="53">
        <f t="shared" si="38"/>
        <v>10000</v>
      </c>
      <c r="T334" s="53"/>
      <c r="U334" s="54">
        <f t="shared" si="37"/>
        <v>490000</v>
      </c>
      <c r="V334" s="19" t="s">
        <v>68</v>
      </c>
      <c r="W334" s="54"/>
    </row>
    <row r="335" spans="1:65" ht="20.100000000000001" customHeight="1" x14ac:dyDescent="0.25">
      <c r="A335" s="17"/>
      <c r="B335" s="61"/>
      <c r="C335" s="57"/>
      <c r="D335" s="17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8"/>
      <c r="Q335" s="53"/>
      <c r="R335" s="54"/>
      <c r="S335" s="53"/>
      <c r="T335" s="53"/>
      <c r="U335" s="54"/>
      <c r="V335" s="19"/>
      <c r="W335" s="54">
        <f>SUM(O330:O334)-SUM(U330:U334)</f>
        <v>-580805</v>
      </c>
    </row>
    <row r="336" spans="1:65" ht="20.100000000000001" customHeight="1" x14ac:dyDescent="0.25">
      <c r="A336" s="14">
        <v>57458</v>
      </c>
      <c r="B336" s="59"/>
      <c r="C336" s="60"/>
      <c r="D336" s="14"/>
      <c r="E336" s="50"/>
      <c r="F336" s="50"/>
      <c r="G336" s="50"/>
      <c r="H336" s="50"/>
      <c r="I336" s="50"/>
      <c r="J336" s="50"/>
      <c r="K336" s="50"/>
      <c r="L336" s="50"/>
      <c r="M336" s="50"/>
      <c r="N336" s="50"/>
      <c r="O336" s="50"/>
      <c r="P336" s="6">
        <v>57458</v>
      </c>
      <c r="Q336" s="52"/>
      <c r="R336" s="50"/>
      <c r="S336" s="52"/>
      <c r="T336" s="52"/>
      <c r="U336" s="50"/>
      <c r="V336" s="14"/>
      <c r="W336" s="50"/>
    </row>
    <row r="337" spans="1:65" ht="20.100000000000001" customHeight="1" x14ac:dyDescent="0.25">
      <c r="A337" s="17"/>
      <c r="B337" s="61" t="s">
        <v>154</v>
      </c>
      <c r="C337" s="57">
        <v>45524</v>
      </c>
      <c r="D337" s="17">
        <v>83</v>
      </c>
      <c r="E337" s="54">
        <v>3491250</v>
      </c>
      <c r="F337" s="54"/>
      <c r="G337" s="54">
        <f>E337-F337</f>
        <v>3491250</v>
      </c>
      <c r="H337" s="54">
        <f>ROUND(G337*18%,0)</f>
        <v>628425</v>
      </c>
      <c r="I337" s="54">
        <f>G337+H337</f>
        <v>4119675</v>
      </c>
      <c r="J337" s="54">
        <f>ROUND(G337*$J$12,0)</f>
        <v>69825</v>
      </c>
      <c r="K337" s="54">
        <f>G337*5%</f>
        <v>174562.5</v>
      </c>
      <c r="L337" s="54"/>
      <c r="M337" s="54">
        <f>H337</f>
        <v>628425</v>
      </c>
      <c r="N337" s="54">
        <f>G337*12%</f>
        <v>418950</v>
      </c>
      <c r="O337" s="54">
        <f>ROUND(I337-SUM(J337:N337),)</f>
        <v>2827913</v>
      </c>
      <c r="P337" s="8"/>
      <c r="Q337" s="53">
        <v>3675000</v>
      </c>
      <c r="R337" s="54">
        <v>500000</v>
      </c>
      <c r="S337" s="53"/>
      <c r="T337" s="53">
        <f>Q338-SUM(R337:R341)</f>
        <v>491250</v>
      </c>
      <c r="U337" s="54">
        <v>490000</v>
      </c>
      <c r="V337" s="19" t="s">
        <v>292</v>
      </c>
      <c r="W337" s="54"/>
    </row>
    <row r="338" spans="1:65" ht="20.100000000000001" customHeight="1" x14ac:dyDescent="0.25">
      <c r="A338" s="17"/>
      <c r="B338" s="61"/>
      <c r="C338" s="57"/>
      <c r="D338" s="17">
        <v>83</v>
      </c>
      <c r="E338" s="54">
        <f>M337</f>
        <v>628425</v>
      </c>
      <c r="F338" s="54"/>
      <c r="G338" s="54"/>
      <c r="H338" s="54"/>
      <c r="I338" s="54"/>
      <c r="J338" s="54"/>
      <c r="K338" s="54"/>
      <c r="L338" s="54"/>
      <c r="M338" s="54"/>
      <c r="N338" s="54"/>
      <c r="O338" s="54">
        <f>E338</f>
        <v>628425</v>
      </c>
      <c r="P338" s="8"/>
      <c r="Q338" s="53">
        <f>Q337*95%</f>
        <v>3491250</v>
      </c>
      <c r="R338" s="54">
        <v>500000</v>
      </c>
      <c r="S338" s="53"/>
      <c r="T338" s="53"/>
      <c r="U338" s="54">
        <v>500000</v>
      </c>
      <c r="V338" s="19" t="s">
        <v>297</v>
      </c>
      <c r="W338" s="54"/>
    </row>
    <row r="339" spans="1:65" ht="20.100000000000001" customHeight="1" x14ac:dyDescent="0.25">
      <c r="A339" s="17"/>
      <c r="B339" s="61"/>
      <c r="C339" s="57"/>
      <c r="D339" s="17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8"/>
      <c r="Q339" s="53"/>
      <c r="R339" s="54">
        <v>500000</v>
      </c>
      <c r="S339" s="53"/>
      <c r="T339" s="53"/>
      <c r="U339" s="54">
        <v>500000</v>
      </c>
      <c r="V339" s="19" t="s">
        <v>299</v>
      </c>
      <c r="W339" s="54"/>
    </row>
    <row r="340" spans="1:65" ht="20.100000000000001" customHeight="1" x14ac:dyDescent="0.25">
      <c r="A340" s="17"/>
      <c r="B340" s="61"/>
      <c r="C340" s="57"/>
      <c r="D340" s="17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8"/>
      <c r="Q340" s="53"/>
      <c r="R340" s="54">
        <v>500000</v>
      </c>
      <c r="S340" s="53"/>
      <c r="T340" s="53"/>
      <c r="U340" s="54">
        <v>500000</v>
      </c>
      <c r="V340" s="74" t="s">
        <v>302</v>
      </c>
      <c r="W340" s="54"/>
    </row>
    <row r="341" spans="1:65" ht="20.100000000000001" customHeight="1" x14ac:dyDescent="0.25">
      <c r="A341" s="17"/>
      <c r="B341" s="61"/>
      <c r="C341" s="57"/>
      <c r="D341" s="17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8"/>
      <c r="Q341" s="53"/>
      <c r="R341" s="54">
        <v>1000000</v>
      </c>
      <c r="S341" s="53"/>
      <c r="T341" s="53"/>
      <c r="U341" s="54">
        <v>1000000</v>
      </c>
      <c r="V341" s="74" t="s">
        <v>305</v>
      </c>
      <c r="W341" s="54">
        <f>SUM(O337:O341)-SUM(U337:U341)</f>
        <v>466338</v>
      </c>
    </row>
    <row r="342" spans="1:65" ht="20.100000000000001" customHeight="1" x14ac:dyDescent="0.25">
      <c r="A342" s="14">
        <v>57150</v>
      </c>
      <c r="B342" s="59"/>
      <c r="C342" s="60"/>
      <c r="D342" s="14"/>
      <c r="E342" s="50"/>
      <c r="F342" s="50"/>
      <c r="G342" s="50"/>
      <c r="H342" s="50"/>
      <c r="I342" s="50"/>
      <c r="J342" s="50"/>
      <c r="K342" s="50"/>
      <c r="L342" s="50"/>
      <c r="M342" s="50"/>
      <c r="N342" s="50"/>
      <c r="O342" s="50"/>
      <c r="P342" s="6">
        <v>57150</v>
      </c>
      <c r="Q342" s="52"/>
      <c r="R342" s="50"/>
      <c r="S342" s="52"/>
      <c r="T342" s="52"/>
      <c r="U342" s="50"/>
      <c r="V342" s="14"/>
      <c r="W342" s="50"/>
    </row>
    <row r="343" spans="1:65" ht="20.100000000000001" customHeight="1" x14ac:dyDescent="0.25">
      <c r="A343" s="17"/>
      <c r="B343" s="61" t="s">
        <v>161</v>
      </c>
      <c r="C343" s="57">
        <v>45173</v>
      </c>
      <c r="D343" s="17" t="s">
        <v>37</v>
      </c>
      <c r="E343" s="54">
        <v>2271500</v>
      </c>
      <c r="F343" s="54"/>
      <c r="G343" s="54">
        <f>E343-F343</f>
        <v>2271500</v>
      </c>
      <c r="H343" s="54">
        <f>ROUND(G343*18%,0)</f>
        <v>408870</v>
      </c>
      <c r="I343" s="54">
        <f>G343+H343</f>
        <v>2680370</v>
      </c>
      <c r="J343" s="54">
        <f>ROUND(G343*$J$12,0)</f>
        <v>45430</v>
      </c>
      <c r="K343" s="54">
        <f>G343*5%</f>
        <v>113575</v>
      </c>
      <c r="L343" s="54">
        <f>G343*10%</f>
        <v>227150</v>
      </c>
      <c r="M343" s="54">
        <f>H343</f>
        <v>408870</v>
      </c>
      <c r="N343" s="54">
        <v>0</v>
      </c>
      <c r="O343" s="54">
        <f>ROUND(I343-SUM(J343:N343),)</f>
        <v>1885345</v>
      </c>
      <c r="P343" s="8"/>
      <c r="Q343" s="53">
        <v>4130000</v>
      </c>
      <c r="R343" s="54">
        <v>200000</v>
      </c>
      <c r="S343" s="53">
        <f>R343*2%</f>
        <v>4000</v>
      </c>
      <c r="T343" s="53">
        <f>Q343-SUM(R343:R352)</f>
        <v>-785345</v>
      </c>
      <c r="U343" s="54">
        <f t="shared" si="37"/>
        <v>196000</v>
      </c>
      <c r="V343" s="18" t="s">
        <v>22</v>
      </c>
      <c r="W343" s="54"/>
    </row>
    <row r="344" spans="1:65" ht="20.100000000000001" customHeight="1" x14ac:dyDescent="0.25">
      <c r="A344" s="17"/>
      <c r="B344" s="61"/>
      <c r="C344" s="57">
        <v>45290</v>
      </c>
      <c r="D344" s="17" t="s">
        <v>123</v>
      </c>
      <c r="E344" s="54">
        <v>1858500</v>
      </c>
      <c r="F344" s="54"/>
      <c r="G344" s="54">
        <f>E344-F344</f>
        <v>1858500</v>
      </c>
      <c r="H344" s="54">
        <f>ROUND(G344*18%,0)</f>
        <v>334530</v>
      </c>
      <c r="I344" s="54">
        <f>G344+H344</f>
        <v>2193030</v>
      </c>
      <c r="J344" s="54">
        <f>ROUND(G344*$J$12,0)</f>
        <v>37170</v>
      </c>
      <c r="K344" s="54">
        <f>G344*5%</f>
        <v>92925</v>
      </c>
      <c r="L344" s="54">
        <v>0</v>
      </c>
      <c r="M344" s="54">
        <f>H344</f>
        <v>334530</v>
      </c>
      <c r="N344" s="54">
        <v>495600</v>
      </c>
      <c r="O344" s="54">
        <f>ROUND(I344-SUM(J344:N344),)</f>
        <v>1232805</v>
      </c>
      <c r="P344" s="8"/>
      <c r="Q344" s="53"/>
      <c r="R344" s="54">
        <v>300000</v>
      </c>
      <c r="S344" s="53">
        <f t="shared" ref="S344:S352" si="39">R344*2%</f>
        <v>6000</v>
      </c>
      <c r="T344" s="53"/>
      <c r="U344" s="54">
        <f t="shared" si="37"/>
        <v>294000</v>
      </c>
      <c r="V344" s="18" t="s">
        <v>23</v>
      </c>
      <c r="W344" s="54"/>
    </row>
    <row r="345" spans="1:65" ht="20.100000000000001" customHeight="1" x14ac:dyDescent="0.25">
      <c r="A345" s="17"/>
      <c r="B345" s="61" t="s">
        <v>244</v>
      </c>
      <c r="C345" s="57"/>
      <c r="D345" s="17" t="s">
        <v>247</v>
      </c>
      <c r="E345" s="54">
        <f>M343+M344</f>
        <v>743400</v>
      </c>
      <c r="F345" s="54"/>
      <c r="G345" s="54"/>
      <c r="H345" s="54"/>
      <c r="I345" s="54"/>
      <c r="J345" s="54"/>
      <c r="K345" s="54"/>
      <c r="L345" s="54"/>
      <c r="M345" s="54"/>
      <c r="N345" s="54"/>
      <c r="O345" s="54">
        <f>E345</f>
        <v>743400</v>
      </c>
      <c r="P345" s="8"/>
      <c r="Q345" s="53"/>
      <c r="R345" s="54">
        <v>500000</v>
      </c>
      <c r="S345" s="53">
        <f t="shared" si="39"/>
        <v>10000</v>
      </c>
      <c r="T345" s="53"/>
      <c r="U345" s="54">
        <f t="shared" si="37"/>
        <v>490000</v>
      </c>
      <c r="V345" s="18" t="s">
        <v>24</v>
      </c>
      <c r="W345" s="54"/>
    </row>
    <row r="346" spans="1:65" ht="20.100000000000001" customHeight="1" x14ac:dyDescent="0.25">
      <c r="A346" s="17"/>
      <c r="B346" s="61"/>
      <c r="C346" s="57"/>
      <c r="D346" s="17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8"/>
      <c r="Q346" s="53"/>
      <c r="R346" s="54">
        <v>200000</v>
      </c>
      <c r="S346" s="53">
        <f t="shared" si="39"/>
        <v>4000</v>
      </c>
      <c r="T346" s="53"/>
      <c r="U346" s="54">
        <f t="shared" si="37"/>
        <v>196000</v>
      </c>
      <c r="V346" s="18" t="s">
        <v>25</v>
      </c>
      <c r="W346" s="54"/>
    </row>
    <row r="347" spans="1:65" ht="20.100000000000001" customHeight="1" x14ac:dyDescent="0.25">
      <c r="A347" s="17"/>
      <c r="B347" s="61"/>
      <c r="C347" s="57"/>
      <c r="D347" s="17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8"/>
      <c r="Q347" s="53"/>
      <c r="R347" s="54">
        <v>300000</v>
      </c>
      <c r="S347" s="53">
        <f t="shared" si="39"/>
        <v>6000</v>
      </c>
      <c r="T347" s="53"/>
      <c r="U347" s="54">
        <f t="shared" si="37"/>
        <v>294000</v>
      </c>
      <c r="V347" s="18" t="s">
        <v>26</v>
      </c>
      <c r="W347" s="54"/>
    </row>
    <row r="348" spans="1:65" ht="20.100000000000001" customHeight="1" x14ac:dyDescent="0.25">
      <c r="A348" s="17"/>
      <c r="B348" s="61"/>
      <c r="C348" s="57"/>
      <c r="D348" s="17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8"/>
      <c r="Q348" s="53"/>
      <c r="R348" s="54">
        <v>415345</v>
      </c>
      <c r="S348" s="53">
        <v>0</v>
      </c>
      <c r="T348" s="53"/>
      <c r="U348" s="54">
        <f t="shared" si="37"/>
        <v>415345</v>
      </c>
      <c r="V348" s="18" t="s">
        <v>47</v>
      </c>
      <c r="W348" s="54"/>
    </row>
    <row r="349" spans="1:65" s="16" customFormat="1" ht="20.100000000000001" customHeight="1" x14ac:dyDescent="0.25">
      <c r="A349" s="17"/>
      <c r="B349" s="61"/>
      <c r="C349" s="57"/>
      <c r="D349" s="17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8"/>
      <c r="Q349" s="53"/>
      <c r="R349" s="54">
        <v>500000</v>
      </c>
      <c r="S349" s="53">
        <f t="shared" si="39"/>
        <v>10000</v>
      </c>
      <c r="T349" s="53"/>
      <c r="U349" s="54">
        <f t="shared" si="37"/>
        <v>490000</v>
      </c>
      <c r="V349" s="18" t="s">
        <v>46</v>
      </c>
      <c r="W349" s="54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  <c r="BH349" s="9"/>
      <c r="BI349" s="9"/>
      <c r="BJ349" s="9"/>
      <c r="BK349" s="9"/>
      <c r="BL349" s="9"/>
      <c r="BM349" s="9"/>
    </row>
    <row r="350" spans="1:65" ht="20.100000000000001" customHeight="1" x14ac:dyDescent="0.25">
      <c r="A350" s="17"/>
      <c r="B350" s="61"/>
      <c r="C350" s="57"/>
      <c r="D350" s="17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8"/>
      <c r="Q350" s="53"/>
      <c r="R350" s="54">
        <v>1000000</v>
      </c>
      <c r="S350" s="53">
        <f t="shared" si="39"/>
        <v>20000</v>
      </c>
      <c r="T350" s="53"/>
      <c r="U350" s="54">
        <f t="shared" si="37"/>
        <v>980000</v>
      </c>
      <c r="V350" s="18" t="s">
        <v>53</v>
      </c>
      <c r="W350" s="54"/>
    </row>
    <row r="351" spans="1:65" ht="20.100000000000001" customHeight="1" x14ac:dyDescent="0.25">
      <c r="A351" s="17"/>
      <c r="B351" s="61"/>
      <c r="C351" s="57"/>
      <c r="D351" s="17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8"/>
      <c r="Q351" s="53"/>
      <c r="R351" s="54">
        <v>1000000</v>
      </c>
      <c r="S351" s="53">
        <f t="shared" si="39"/>
        <v>20000</v>
      </c>
      <c r="T351" s="53"/>
      <c r="U351" s="54">
        <f t="shared" si="37"/>
        <v>980000</v>
      </c>
      <c r="V351" s="18" t="s">
        <v>56</v>
      </c>
      <c r="W351" s="54"/>
    </row>
    <row r="352" spans="1:65" ht="20.100000000000001" customHeight="1" x14ac:dyDescent="0.25">
      <c r="A352" s="17"/>
      <c r="B352" s="61"/>
      <c r="C352" s="57"/>
      <c r="D352" s="17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8"/>
      <c r="Q352" s="53"/>
      <c r="R352" s="54">
        <v>500000</v>
      </c>
      <c r="S352" s="53">
        <f t="shared" si="39"/>
        <v>10000</v>
      </c>
      <c r="T352" s="53"/>
      <c r="U352" s="54">
        <f t="shared" si="37"/>
        <v>490000</v>
      </c>
      <c r="V352" s="18" t="s">
        <v>65</v>
      </c>
      <c r="W352" s="54">
        <f>SUM(O343:O352)-SUM(U343:U352)</f>
        <v>-963795</v>
      </c>
    </row>
    <row r="353" spans="1:23" ht="20.100000000000001" customHeight="1" x14ac:dyDescent="0.25">
      <c r="A353" s="14">
        <v>57149</v>
      </c>
      <c r="B353" s="59"/>
      <c r="C353" s="60"/>
      <c r="D353" s="14"/>
      <c r="E353" s="50"/>
      <c r="F353" s="50"/>
      <c r="G353" s="50"/>
      <c r="H353" s="50"/>
      <c r="I353" s="50"/>
      <c r="J353" s="50"/>
      <c r="K353" s="50"/>
      <c r="L353" s="50"/>
      <c r="M353" s="50"/>
      <c r="N353" s="50"/>
      <c r="O353" s="50"/>
      <c r="P353" s="6">
        <v>57149</v>
      </c>
      <c r="Q353" s="52"/>
      <c r="R353" s="50"/>
      <c r="S353" s="52"/>
      <c r="T353" s="52"/>
      <c r="U353" s="50"/>
      <c r="V353" s="14"/>
      <c r="W353" s="50"/>
    </row>
    <row r="354" spans="1:23" ht="20.100000000000001" customHeight="1" x14ac:dyDescent="0.25">
      <c r="A354" s="17"/>
      <c r="B354" s="61" t="s">
        <v>160</v>
      </c>
      <c r="C354" s="57">
        <v>45156</v>
      </c>
      <c r="D354" s="17">
        <v>10</v>
      </c>
      <c r="E354" s="54">
        <v>1856250</v>
      </c>
      <c r="F354" s="54"/>
      <c r="G354" s="54">
        <f>E354-F354</f>
        <v>1856250</v>
      </c>
      <c r="H354" s="54">
        <f>ROUND(G354*18%,0)</f>
        <v>334125</v>
      </c>
      <c r="I354" s="54">
        <f>G354+H354</f>
        <v>2190375</v>
      </c>
      <c r="J354" s="54">
        <f>ROUND(G354*$J$12,0)</f>
        <v>37125</v>
      </c>
      <c r="K354" s="54">
        <f>G354*5%</f>
        <v>92812.5</v>
      </c>
      <c r="L354" s="54">
        <f>G354*10%</f>
        <v>185625</v>
      </c>
      <c r="M354" s="54">
        <f>H354</f>
        <v>334125</v>
      </c>
      <c r="N354" s="54">
        <v>0</v>
      </c>
      <c r="O354" s="54">
        <f>ROUND(I354-SUM(J354:N354),)</f>
        <v>1540688</v>
      </c>
      <c r="P354" s="8"/>
      <c r="Q354" s="53">
        <v>2475000</v>
      </c>
      <c r="R354" s="54">
        <v>200000</v>
      </c>
      <c r="S354" s="53">
        <f>R354*2%</f>
        <v>4000</v>
      </c>
      <c r="T354" s="53">
        <f>Q354-SUM(R354:R363)</f>
        <v>-593687</v>
      </c>
      <c r="U354" s="54">
        <f t="shared" si="37"/>
        <v>196000</v>
      </c>
      <c r="V354" s="18" t="s">
        <v>27</v>
      </c>
      <c r="W354" s="54"/>
    </row>
    <row r="355" spans="1:23" ht="20.100000000000001" customHeight="1" x14ac:dyDescent="0.25">
      <c r="A355" s="17"/>
      <c r="B355" s="61"/>
      <c r="C355" s="57">
        <v>45259</v>
      </c>
      <c r="D355" s="17">
        <v>79</v>
      </c>
      <c r="E355" s="54">
        <v>618750</v>
      </c>
      <c r="F355" s="54"/>
      <c r="G355" s="54">
        <f>E355-F355</f>
        <v>618750</v>
      </c>
      <c r="H355" s="54">
        <f>ROUND(G355*18%,0)</f>
        <v>111375</v>
      </c>
      <c r="I355" s="54">
        <f>G355+H355</f>
        <v>730125</v>
      </c>
      <c r="J355" s="54">
        <f>ROUND(G355*$J$12,0)</f>
        <v>12375</v>
      </c>
      <c r="K355" s="54">
        <f>G355*5%</f>
        <v>30937.5</v>
      </c>
      <c r="L355" s="54"/>
      <c r="M355" s="54">
        <f>H355</f>
        <v>111375</v>
      </c>
      <c r="N355" s="54">
        <v>297000</v>
      </c>
      <c r="O355" s="54">
        <f>ROUND(I355-SUM(J355:N355),)</f>
        <v>278438</v>
      </c>
      <c r="P355" s="8"/>
      <c r="Q355" s="53"/>
      <c r="R355" s="54">
        <v>200000</v>
      </c>
      <c r="S355" s="53">
        <f t="shared" ref="S355:S362" si="40">R355*2%</f>
        <v>4000</v>
      </c>
      <c r="T355" s="53"/>
      <c r="U355" s="54">
        <f t="shared" si="37"/>
        <v>196000</v>
      </c>
      <c r="V355" s="18" t="s">
        <v>28</v>
      </c>
      <c r="W355" s="54"/>
    </row>
    <row r="356" spans="1:23" ht="20.100000000000001" customHeight="1" x14ac:dyDescent="0.25">
      <c r="A356" s="17"/>
      <c r="B356" s="61" t="s">
        <v>244</v>
      </c>
      <c r="C356" s="57"/>
      <c r="D356" s="17" t="s">
        <v>246</v>
      </c>
      <c r="E356" s="54">
        <f>M354+M355</f>
        <v>445500</v>
      </c>
      <c r="F356" s="54"/>
      <c r="G356" s="54"/>
      <c r="H356" s="54"/>
      <c r="I356" s="54"/>
      <c r="J356" s="54"/>
      <c r="K356" s="54"/>
      <c r="L356" s="54"/>
      <c r="M356" s="54"/>
      <c r="N356" s="54"/>
      <c r="O356" s="54">
        <f>E356</f>
        <v>445500</v>
      </c>
      <c r="P356" s="8"/>
      <c r="Q356" s="53"/>
      <c r="R356" s="54">
        <v>500000</v>
      </c>
      <c r="S356" s="53">
        <f t="shared" si="40"/>
        <v>10000</v>
      </c>
      <c r="T356" s="53"/>
      <c r="U356" s="54">
        <f t="shared" si="37"/>
        <v>490000</v>
      </c>
      <c r="V356" s="18" t="s">
        <v>29</v>
      </c>
      <c r="W356" s="54"/>
    </row>
    <row r="357" spans="1:23" ht="20.100000000000001" customHeight="1" x14ac:dyDescent="0.25">
      <c r="A357" s="17"/>
      <c r="B357" s="61"/>
      <c r="C357" s="57"/>
      <c r="D357" s="17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8"/>
      <c r="Q357" s="53"/>
      <c r="R357" s="54">
        <v>200000</v>
      </c>
      <c r="S357" s="53">
        <f t="shared" si="40"/>
        <v>4000</v>
      </c>
      <c r="T357" s="53"/>
      <c r="U357" s="54">
        <f t="shared" si="37"/>
        <v>196000</v>
      </c>
      <c r="V357" s="18" t="s">
        <v>30</v>
      </c>
      <c r="W357" s="54"/>
    </row>
    <row r="358" spans="1:23" ht="20.100000000000001" customHeight="1" x14ac:dyDescent="0.25">
      <c r="A358" s="17"/>
      <c r="B358" s="61"/>
      <c r="C358" s="57"/>
      <c r="D358" s="17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8"/>
      <c r="Q358" s="53"/>
      <c r="R358" s="54">
        <v>300000</v>
      </c>
      <c r="S358" s="53">
        <f t="shared" si="40"/>
        <v>6000</v>
      </c>
      <c r="T358" s="53"/>
      <c r="U358" s="54">
        <f t="shared" si="37"/>
        <v>294000</v>
      </c>
      <c r="V358" s="18" t="s">
        <v>31</v>
      </c>
      <c r="W358" s="54"/>
    </row>
    <row r="359" spans="1:23" ht="20.100000000000001" customHeight="1" x14ac:dyDescent="0.25">
      <c r="A359" s="17"/>
      <c r="B359" s="61"/>
      <c r="C359" s="57"/>
      <c r="D359" s="17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8"/>
      <c r="Q359" s="53"/>
      <c r="R359" s="54">
        <v>168687</v>
      </c>
      <c r="S359" s="53"/>
      <c r="T359" s="53"/>
      <c r="U359" s="54">
        <v>168687</v>
      </c>
      <c r="V359" s="18" t="s">
        <v>49</v>
      </c>
      <c r="W359" s="54"/>
    </row>
    <row r="360" spans="1:23" ht="20.100000000000001" customHeight="1" x14ac:dyDescent="0.25">
      <c r="A360" s="17"/>
      <c r="B360" s="61"/>
      <c r="C360" s="57"/>
      <c r="D360" s="17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8"/>
      <c r="Q360" s="53"/>
      <c r="R360" s="54">
        <v>500000</v>
      </c>
      <c r="S360" s="53">
        <f t="shared" si="40"/>
        <v>10000</v>
      </c>
      <c r="T360" s="53"/>
      <c r="U360" s="54">
        <f t="shared" si="37"/>
        <v>490000</v>
      </c>
      <c r="V360" s="18" t="s">
        <v>48</v>
      </c>
      <c r="W360" s="54"/>
    </row>
    <row r="361" spans="1:23" ht="20.100000000000001" customHeight="1" x14ac:dyDescent="0.25">
      <c r="A361" s="17"/>
      <c r="B361" s="61"/>
      <c r="C361" s="57"/>
      <c r="D361" s="17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8"/>
      <c r="Q361" s="53"/>
      <c r="R361" s="54">
        <v>500000</v>
      </c>
      <c r="S361" s="53">
        <f t="shared" si="40"/>
        <v>10000</v>
      </c>
      <c r="T361" s="53"/>
      <c r="U361" s="54">
        <f t="shared" si="37"/>
        <v>490000</v>
      </c>
      <c r="V361" s="18" t="s">
        <v>54</v>
      </c>
      <c r="W361" s="54"/>
    </row>
    <row r="362" spans="1:23" ht="20.100000000000001" customHeight="1" x14ac:dyDescent="0.25">
      <c r="A362" s="17"/>
      <c r="B362" s="61"/>
      <c r="C362" s="57"/>
      <c r="D362" s="17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8"/>
      <c r="Q362" s="53"/>
      <c r="R362" s="54">
        <v>500000</v>
      </c>
      <c r="S362" s="53">
        <f t="shared" si="40"/>
        <v>10000</v>
      </c>
      <c r="T362" s="53"/>
      <c r="U362" s="54">
        <f t="shared" si="37"/>
        <v>490000</v>
      </c>
      <c r="V362" s="18" t="s">
        <v>66</v>
      </c>
      <c r="W362" s="54"/>
    </row>
    <row r="363" spans="1:23" ht="20.100000000000001" customHeight="1" thickBot="1" x14ac:dyDescent="0.3">
      <c r="A363" s="17"/>
      <c r="B363" s="61"/>
      <c r="C363" s="57"/>
      <c r="D363" s="17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8"/>
      <c r="Q363" s="53"/>
      <c r="R363" s="54"/>
      <c r="S363" s="53"/>
      <c r="T363" s="53"/>
      <c r="U363" s="54"/>
      <c r="V363" s="18"/>
      <c r="W363" s="54">
        <f>SUM(O354:O363)-SUM(U354:U363)</f>
        <v>-746061</v>
      </c>
    </row>
    <row r="364" spans="1:23" ht="20.100000000000001" customHeight="1" x14ac:dyDescent="0.25">
      <c r="A364" s="49"/>
      <c r="B364" s="49"/>
      <c r="C364" s="49"/>
      <c r="D364" s="49"/>
      <c r="E364" s="67">
        <f t="shared" ref="E364:O364" si="41">SUM(E13:E363)</f>
        <v>162378548</v>
      </c>
      <c r="F364" s="67">
        <f t="shared" si="41"/>
        <v>0</v>
      </c>
      <c r="G364" s="67">
        <f t="shared" si="41"/>
        <v>137608938</v>
      </c>
      <c r="H364" s="67">
        <f t="shared" si="41"/>
        <v>24769610</v>
      </c>
      <c r="I364" s="67">
        <f t="shared" si="41"/>
        <v>162378548</v>
      </c>
      <c r="J364" s="67">
        <f t="shared" si="41"/>
        <v>2752180</v>
      </c>
      <c r="K364" s="67">
        <f t="shared" si="41"/>
        <v>6880446.8999999985</v>
      </c>
      <c r="L364" s="67">
        <f t="shared" si="41"/>
        <v>536806.19999999995</v>
      </c>
      <c r="M364" s="67">
        <f t="shared" si="41"/>
        <v>24769610</v>
      </c>
      <c r="N364" s="67">
        <f t="shared" si="41"/>
        <v>18320382.560000002</v>
      </c>
      <c r="O364" s="67">
        <f t="shared" si="41"/>
        <v>133888739</v>
      </c>
      <c r="P364" s="67"/>
      <c r="Q364" s="26">
        <f>SUM(Q12:Q363)</f>
        <v>283735625.5</v>
      </c>
      <c r="R364" s="26">
        <f>SUM(R13:R363)</f>
        <v>167183492</v>
      </c>
      <c r="S364" s="26">
        <f>SUM(S13:S363)</f>
        <v>3041000</v>
      </c>
      <c r="T364" s="26">
        <f>SUM(T13:T363)</f>
        <v>9265883.5</v>
      </c>
      <c r="U364" s="26">
        <f>SUM(U13:U363)</f>
        <v>163092492</v>
      </c>
      <c r="V364" s="49"/>
      <c r="W364" s="26">
        <f>SUM(W12:W363)</f>
        <v>-29203753</v>
      </c>
    </row>
    <row r="365" spans="1:23" ht="20.100000000000001" customHeight="1" x14ac:dyDescent="0.25">
      <c r="A365" s="54"/>
      <c r="B365" s="54"/>
      <c r="C365" s="54"/>
      <c r="D365" s="54"/>
      <c r="E365" s="54">
        <f>E364-M364</f>
        <v>137608938</v>
      </c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27"/>
      <c r="Q365" s="53"/>
      <c r="R365" s="54"/>
      <c r="S365" s="53"/>
      <c r="T365" s="53"/>
      <c r="U365" s="54"/>
      <c r="V365" s="54"/>
      <c r="W365" s="54"/>
    </row>
    <row r="366" spans="1:23" ht="20.100000000000001" customHeight="1" x14ac:dyDescent="0.25">
      <c r="A366" s="54"/>
      <c r="B366" s="54"/>
      <c r="C366" s="54"/>
      <c r="D366" s="54"/>
      <c r="E366" s="54">
        <f>E365*18%+E365</f>
        <v>162378546.84</v>
      </c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27"/>
      <c r="Q366" s="53"/>
      <c r="R366" s="54"/>
      <c r="S366" s="53"/>
      <c r="T366" s="68"/>
      <c r="U366" s="27">
        <f>O364-U364</f>
        <v>-29203753</v>
      </c>
      <c r="V366" s="54"/>
      <c r="W366" s="27"/>
    </row>
    <row r="367" spans="1:23" ht="20.100000000000001" customHeight="1" thickBot="1" x14ac:dyDescent="0.3">
      <c r="A367" s="64"/>
      <c r="B367" s="64"/>
      <c r="C367" s="64"/>
      <c r="D367" s="64"/>
      <c r="E367" s="64">
        <f>E364-E366</f>
        <v>1.1599999964237213</v>
      </c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5"/>
      <c r="Q367" s="66"/>
      <c r="R367" s="64"/>
      <c r="S367" s="66"/>
      <c r="T367" s="66"/>
      <c r="U367" s="64"/>
      <c r="V367" s="64"/>
      <c r="W367" s="64"/>
    </row>
    <row r="368" spans="1:23" ht="20.100000000000001" customHeight="1" x14ac:dyDescent="0.25">
      <c r="A368" s="36"/>
      <c r="B368" s="36"/>
      <c r="C368" s="36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69"/>
      <c r="Q368" s="70"/>
      <c r="R368" s="36"/>
      <c r="S368" s="70"/>
      <c r="T368" s="70"/>
      <c r="U368" s="36"/>
      <c r="V368" s="36"/>
      <c r="W368" s="36"/>
    </row>
    <row r="369" spans="1:23" ht="20.100000000000001" customHeight="1" thickBot="1" x14ac:dyDescent="0.3">
      <c r="A369" s="36"/>
      <c r="B369" s="36"/>
      <c r="C369" s="36"/>
      <c r="D369" s="36"/>
      <c r="E369" s="36"/>
      <c r="F369" s="36"/>
      <c r="G369" s="36"/>
      <c r="H369" s="36"/>
      <c r="I369" s="36"/>
      <c r="J369" s="36"/>
      <c r="K369" s="36"/>
      <c r="L369" s="36"/>
      <c r="M369" s="36"/>
      <c r="N369" s="36"/>
      <c r="O369" s="36"/>
      <c r="P369" s="69"/>
      <c r="Q369" s="70"/>
      <c r="R369" s="36"/>
      <c r="S369" s="70"/>
      <c r="T369" s="70"/>
      <c r="U369" s="36"/>
      <c r="V369" s="36"/>
      <c r="W369" s="36"/>
    </row>
    <row r="370" spans="1:23" ht="20.100000000000001" customHeight="1" thickBot="1" x14ac:dyDescent="0.3">
      <c r="A370" s="36"/>
      <c r="B370" s="36"/>
      <c r="C370" s="36"/>
      <c r="D370" s="36"/>
      <c r="E370" s="36"/>
      <c r="F370" s="36"/>
      <c r="G370" s="36"/>
      <c r="H370" s="36"/>
      <c r="I370" s="91" t="s">
        <v>293</v>
      </c>
      <c r="J370" s="92"/>
      <c r="K370" s="92"/>
      <c r="L370" s="93"/>
      <c r="M370" s="36"/>
      <c r="N370" s="36"/>
      <c r="O370" s="36"/>
      <c r="P370" s="69"/>
      <c r="Q370" s="70"/>
      <c r="R370" s="36"/>
      <c r="S370" s="70"/>
      <c r="T370" s="70"/>
      <c r="U370" s="36"/>
      <c r="V370" s="36"/>
      <c r="W370" s="36"/>
    </row>
    <row r="371" spans="1:23" ht="20.100000000000001" customHeight="1" thickBot="1" x14ac:dyDescent="0.3">
      <c r="A371" s="36"/>
      <c r="B371" s="36"/>
      <c r="C371" s="36"/>
      <c r="D371" s="36"/>
      <c r="E371" s="36"/>
      <c r="F371" s="36">
        <v>63517</v>
      </c>
      <c r="G371" s="36" t="s">
        <v>135</v>
      </c>
      <c r="H371" s="36"/>
      <c r="I371" s="94">
        <v>45862</v>
      </c>
      <c r="J371" s="95"/>
      <c r="K371" s="95"/>
      <c r="L371" s="96"/>
      <c r="M371" s="36"/>
      <c r="N371" s="36"/>
      <c r="O371" s="36"/>
      <c r="P371" s="69"/>
      <c r="Q371" s="70"/>
      <c r="R371" s="36"/>
      <c r="S371" s="70"/>
      <c r="T371" s="70"/>
      <c r="U371" s="36"/>
      <c r="V371" s="36"/>
      <c r="W371" s="36"/>
    </row>
    <row r="372" spans="1:23" ht="20.100000000000001" customHeight="1" thickBot="1" x14ac:dyDescent="0.45">
      <c r="I372" s="97" t="s">
        <v>282</v>
      </c>
      <c r="J372" s="98"/>
      <c r="K372" s="99">
        <f>K364+L364</f>
        <v>7417253.0999999987</v>
      </c>
      <c r="L372" s="100"/>
    </row>
    <row r="373" spans="1:23" ht="20.100000000000001" customHeight="1" thickBot="1" x14ac:dyDescent="0.45">
      <c r="I373" s="97" t="s">
        <v>285</v>
      </c>
      <c r="J373" s="101"/>
      <c r="K373" s="102">
        <f>N364</f>
        <v>18320382.560000002</v>
      </c>
      <c r="L373" s="103"/>
    </row>
    <row r="374" spans="1:23" ht="20.100000000000001" customHeight="1" thickBot="1" x14ac:dyDescent="0.45">
      <c r="I374" s="97" t="s">
        <v>283</v>
      </c>
      <c r="J374" s="98"/>
      <c r="K374" s="99">
        <f>U366</f>
        <v>-29203753</v>
      </c>
      <c r="L374" s="100"/>
    </row>
    <row r="375" spans="1:23" ht="20.100000000000001" customHeight="1" thickBot="1" x14ac:dyDescent="0.45">
      <c r="I375" s="87" t="s">
        <v>286</v>
      </c>
      <c r="J375" s="88"/>
      <c r="K375" s="89">
        <f>K372+K373+K374</f>
        <v>-3466117.34</v>
      </c>
      <c r="L375" s="90"/>
    </row>
  </sheetData>
  <mergeCells count="10">
    <mergeCell ref="I375:J375"/>
    <mergeCell ref="K375:L375"/>
    <mergeCell ref="I370:L370"/>
    <mergeCell ref="I371:L371"/>
    <mergeCell ref="I372:J372"/>
    <mergeCell ref="K372:L372"/>
    <mergeCell ref="I374:J374"/>
    <mergeCell ref="K374:L374"/>
    <mergeCell ref="I373:J373"/>
    <mergeCell ref="K373:L373"/>
  </mergeCells>
  <conditionalFormatting sqref="U14">
    <cfRule type="duplicateValues" dxfId="14" priority="9"/>
  </conditionalFormatting>
  <conditionalFormatting sqref="U149">
    <cfRule type="duplicateValues" dxfId="13" priority="7"/>
  </conditionalFormatting>
  <conditionalFormatting sqref="V17">
    <cfRule type="duplicateValues" dxfId="12" priority="10"/>
  </conditionalFormatting>
  <conditionalFormatting sqref="V22">
    <cfRule type="duplicateValues" dxfId="11" priority="11"/>
  </conditionalFormatting>
  <conditionalFormatting sqref="V25">
    <cfRule type="duplicateValues" dxfId="10" priority="12"/>
  </conditionalFormatting>
  <conditionalFormatting sqref="V26:V27 V23:V24 V18:V21 V15:V16">
    <cfRule type="duplicateValues" dxfId="9" priority="13"/>
  </conditionalFormatting>
  <conditionalFormatting sqref="V122">
    <cfRule type="duplicateValues" dxfId="8" priority="3"/>
  </conditionalFormatting>
  <conditionalFormatting sqref="V126">
    <cfRule type="duplicateValues" dxfId="7" priority="4"/>
  </conditionalFormatting>
  <conditionalFormatting sqref="V147">
    <cfRule type="duplicateValues" dxfId="6" priority="1"/>
  </conditionalFormatting>
  <conditionalFormatting sqref="V150:V151">
    <cfRule type="duplicateValues" dxfId="5" priority="8"/>
  </conditionalFormatting>
  <conditionalFormatting sqref="V283">
    <cfRule type="duplicateValues" dxfId="4" priority="35"/>
  </conditionalFormatting>
  <conditionalFormatting sqref="V340:V341">
    <cfRule type="duplicateValues" dxfId="3" priority="2"/>
  </conditionalFormatting>
  <conditionalFormatting sqref="V342:V1048576 V1:V12 V128:V130 V123:V125 V152:V169 V284:V339 V148 V132:V146 V171:V282 V29:V121">
    <cfRule type="duplicateValues" dxfId="2" priority="36"/>
  </conditionalFormatting>
  <conditionalFormatting sqref="W14">
    <cfRule type="duplicateValues" dxfId="1" priority="6"/>
  </conditionalFormatting>
  <conditionalFormatting sqref="W149">
    <cfRule type="duplicateValues" dxfId="0" priority="5"/>
  </conditionalFormatting>
  <pageMargins left="0.70866141732283472" right="0.70866141732283472" top="0.74803149606299213" bottom="0.74803149606299213" header="0.31496062992125984" footer="0.31496062992125984"/>
  <pageSetup scale="1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2024-12-02T06:26:56Z</cp:lastPrinted>
  <dcterms:created xsi:type="dcterms:W3CDTF">2022-06-10T14:11:52Z</dcterms:created>
  <dcterms:modified xsi:type="dcterms:W3CDTF">2025-08-01T13:03:46Z</dcterms:modified>
</cp:coreProperties>
</file>