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"/>
    </mc:Choice>
  </mc:AlternateContent>
  <xr:revisionPtr revIDLastSave="0" documentId="13_ncr:1_{BD7E8904-CF7D-4480-B8F5-B0A5631C18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6" i="1" l="1"/>
  <c r="M146" i="1" s="1"/>
  <c r="G145" i="1"/>
  <c r="K145" i="1" s="1"/>
  <c r="G139" i="1"/>
  <c r="K139" i="1" s="1"/>
  <c r="G138" i="1"/>
  <c r="L138" i="1" s="1"/>
  <c r="G137" i="1"/>
  <c r="L137" i="1" s="1"/>
  <c r="G136" i="1"/>
  <c r="K136" i="1" s="1"/>
  <c r="Q135" i="1"/>
  <c r="G132" i="1"/>
  <c r="M132" i="1" s="1"/>
  <c r="G131" i="1"/>
  <c r="K131" i="1" s="1"/>
  <c r="G130" i="1"/>
  <c r="K130" i="1" s="1"/>
  <c r="G129" i="1"/>
  <c r="M129" i="1" s="1"/>
  <c r="Q128" i="1"/>
  <c r="G126" i="1"/>
  <c r="M126" i="1" s="1"/>
  <c r="G125" i="1"/>
  <c r="L125" i="1" s="1"/>
  <c r="G124" i="1"/>
  <c r="M124" i="1" s="1"/>
  <c r="G123" i="1"/>
  <c r="M123" i="1" s="1"/>
  <c r="Q122" i="1"/>
  <c r="G118" i="1"/>
  <c r="M118" i="1" s="1"/>
  <c r="T117" i="1"/>
  <c r="G117" i="1"/>
  <c r="M117" i="1" s="1"/>
  <c r="T116" i="1"/>
  <c r="T115" i="1"/>
  <c r="G114" i="1"/>
  <c r="L114" i="1" s="1"/>
  <c r="T113" i="1"/>
  <c r="G113" i="1"/>
  <c r="M113" i="1" s="1"/>
  <c r="Q112" i="1"/>
  <c r="T147" i="1"/>
  <c r="T146" i="1"/>
  <c r="T145" i="1"/>
  <c r="T143" i="1"/>
  <c r="G148" i="1"/>
  <c r="K148" i="1" s="1"/>
  <c r="G147" i="1"/>
  <c r="M147" i="1" s="1"/>
  <c r="T109" i="1"/>
  <c r="T108" i="1"/>
  <c r="T107" i="1"/>
  <c r="T106" i="1"/>
  <c r="T105" i="1"/>
  <c r="T103" i="1"/>
  <c r="T102" i="1"/>
  <c r="T101" i="1"/>
  <c r="T100" i="1"/>
  <c r="T99" i="1"/>
  <c r="T98" i="1"/>
  <c r="T97" i="1"/>
  <c r="T96" i="1"/>
  <c r="T93" i="1"/>
  <c r="T81" i="1"/>
  <c r="T82" i="1"/>
  <c r="T83" i="1"/>
  <c r="T84" i="1"/>
  <c r="T85" i="1"/>
  <c r="T86" i="1"/>
  <c r="T87" i="1"/>
  <c r="T88" i="1"/>
  <c r="T89" i="1"/>
  <c r="T90" i="1"/>
  <c r="T91" i="1"/>
  <c r="T80" i="1"/>
  <c r="T92" i="1"/>
  <c r="T69" i="1"/>
  <c r="T72" i="1"/>
  <c r="T73" i="1"/>
  <c r="T74" i="1"/>
  <c r="T75" i="1"/>
  <c r="T76" i="1"/>
  <c r="T77" i="1"/>
  <c r="T67" i="1"/>
  <c r="T78" i="1"/>
  <c r="P55" i="1"/>
  <c r="L145" i="1" l="1"/>
  <c r="M145" i="1"/>
  <c r="H146" i="1"/>
  <c r="N146" i="1" s="1"/>
  <c r="J146" i="1"/>
  <c r="K146" i="1"/>
  <c r="H145" i="1"/>
  <c r="N145" i="1" s="1"/>
  <c r="L146" i="1"/>
  <c r="J145" i="1"/>
  <c r="H137" i="1"/>
  <c r="N137" i="1" s="1"/>
  <c r="M137" i="1"/>
  <c r="J138" i="1"/>
  <c r="K138" i="1"/>
  <c r="L139" i="1"/>
  <c r="M139" i="1"/>
  <c r="L136" i="1"/>
  <c r="M136" i="1"/>
  <c r="M138" i="1"/>
  <c r="H139" i="1"/>
  <c r="N139" i="1" s="1"/>
  <c r="H136" i="1"/>
  <c r="I136" i="1" s="1"/>
  <c r="J137" i="1"/>
  <c r="J136" i="1"/>
  <c r="K137" i="1"/>
  <c r="H138" i="1"/>
  <c r="N138" i="1" s="1"/>
  <c r="J139" i="1"/>
  <c r="J123" i="1"/>
  <c r="H129" i="1"/>
  <c r="I129" i="1" s="1"/>
  <c r="L131" i="1"/>
  <c r="M125" i="1"/>
  <c r="M131" i="1"/>
  <c r="H132" i="1"/>
  <c r="N132" i="1" s="1"/>
  <c r="J130" i="1"/>
  <c r="K114" i="1"/>
  <c r="J124" i="1"/>
  <c r="K129" i="1"/>
  <c r="L130" i="1"/>
  <c r="K132" i="1"/>
  <c r="L129" i="1"/>
  <c r="M130" i="1"/>
  <c r="J131" i="1"/>
  <c r="L132" i="1"/>
  <c r="H130" i="1"/>
  <c r="I130" i="1" s="1"/>
  <c r="J129" i="1"/>
  <c r="H131" i="1"/>
  <c r="N131" i="1" s="1"/>
  <c r="J132" i="1"/>
  <c r="M114" i="1"/>
  <c r="J113" i="1"/>
  <c r="J118" i="1"/>
  <c r="H124" i="1"/>
  <c r="I124" i="1" s="1"/>
  <c r="J114" i="1"/>
  <c r="H123" i="1"/>
  <c r="H126" i="1"/>
  <c r="K113" i="1"/>
  <c r="K124" i="1"/>
  <c r="H125" i="1"/>
  <c r="N125" i="1" s="1"/>
  <c r="J126" i="1"/>
  <c r="K123" i="1"/>
  <c r="L124" i="1"/>
  <c r="K126" i="1"/>
  <c r="L123" i="1"/>
  <c r="J125" i="1"/>
  <c r="L126" i="1"/>
  <c r="L118" i="1"/>
  <c r="K125" i="1"/>
  <c r="L113" i="1"/>
  <c r="H114" i="1"/>
  <c r="I114" i="1" s="1"/>
  <c r="H113" i="1"/>
  <c r="H118" i="1"/>
  <c r="K118" i="1"/>
  <c r="J117" i="1"/>
  <c r="K117" i="1"/>
  <c r="H117" i="1"/>
  <c r="N117" i="1" s="1"/>
  <c r="L117" i="1"/>
  <c r="L148" i="1"/>
  <c r="M148" i="1"/>
  <c r="H148" i="1"/>
  <c r="N148" i="1" s="1"/>
  <c r="J148" i="1"/>
  <c r="H147" i="1"/>
  <c r="N147" i="1" s="1"/>
  <c r="J147" i="1"/>
  <c r="K147" i="1"/>
  <c r="L147" i="1"/>
  <c r="T47" i="1"/>
  <c r="T46" i="1"/>
  <c r="T54" i="1"/>
  <c r="T22" i="1"/>
  <c r="T31" i="1"/>
  <c r="T29" i="1"/>
  <c r="T25" i="1"/>
  <c r="T24" i="1"/>
  <c r="T23" i="1"/>
  <c r="U8" i="1"/>
  <c r="T13" i="1"/>
  <c r="T14" i="1"/>
  <c r="T15" i="1"/>
  <c r="I137" i="1" l="1"/>
  <c r="I145" i="1"/>
  <c r="P145" i="1" s="1"/>
  <c r="I146" i="1"/>
  <c r="P146" i="1" s="1"/>
  <c r="N136" i="1"/>
  <c r="P136" i="1" s="1"/>
  <c r="I139" i="1"/>
  <c r="P139" i="1" s="1"/>
  <c r="P137" i="1"/>
  <c r="I132" i="1"/>
  <c r="P132" i="1" s="1"/>
  <c r="I138" i="1"/>
  <c r="P138" i="1" s="1"/>
  <c r="N130" i="1"/>
  <c r="P130" i="1" s="1"/>
  <c r="N129" i="1"/>
  <c r="P129" i="1" s="1"/>
  <c r="I131" i="1"/>
  <c r="P131" i="1" s="1"/>
  <c r="N126" i="1"/>
  <c r="I126" i="1"/>
  <c r="N123" i="1"/>
  <c r="I123" i="1"/>
  <c r="N124" i="1"/>
  <c r="P124" i="1" s="1"/>
  <c r="I117" i="1"/>
  <c r="P117" i="1" s="1"/>
  <c r="I125" i="1"/>
  <c r="P125" i="1" s="1"/>
  <c r="N118" i="1"/>
  <c r="I118" i="1"/>
  <c r="N114" i="1"/>
  <c r="P114" i="1" s="1"/>
  <c r="E116" i="1"/>
  <c r="P116" i="1" s="1"/>
  <c r="E115" i="1"/>
  <c r="P115" i="1" s="1"/>
  <c r="N113" i="1"/>
  <c r="I113" i="1"/>
  <c r="I148" i="1"/>
  <c r="P148" i="1" s="1"/>
  <c r="I147" i="1"/>
  <c r="P147" i="1" s="1"/>
  <c r="G102" i="1"/>
  <c r="K102" i="1" s="1"/>
  <c r="G54" i="1"/>
  <c r="J54" i="1" s="1"/>
  <c r="X129" i="1" l="1"/>
  <c r="X136" i="1"/>
  <c r="P118" i="1"/>
  <c r="P123" i="1"/>
  <c r="P113" i="1"/>
  <c r="P126" i="1"/>
  <c r="H102" i="1"/>
  <c r="I102" i="1" s="1"/>
  <c r="J102" i="1"/>
  <c r="M102" i="1"/>
  <c r="L102" i="1"/>
  <c r="L54" i="1"/>
  <c r="M54" i="1"/>
  <c r="K54" i="1"/>
  <c r="H54" i="1"/>
  <c r="N54" i="1" s="1"/>
  <c r="X113" i="1" l="1"/>
  <c r="X123" i="1"/>
  <c r="N102" i="1"/>
  <c r="I54" i="1"/>
  <c r="P54" i="1" s="1"/>
  <c r="P102" i="1" l="1"/>
  <c r="E103" i="1"/>
  <c r="P103" i="1" s="1"/>
  <c r="G143" i="1"/>
  <c r="M143" i="1" s="1"/>
  <c r="Q142" i="1"/>
  <c r="G89" i="1"/>
  <c r="K89" i="1" s="1"/>
  <c r="N19" i="1"/>
  <c r="G88" i="1"/>
  <c r="K88" i="1" s="1"/>
  <c r="J143" i="1" l="1"/>
  <c r="K143" i="1"/>
  <c r="H143" i="1"/>
  <c r="E144" i="1" s="1"/>
  <c r="P144" i="1" s="1"/>
  <c r="L143" i="1"/>
  <c r="H89" i="1"/>
  <c r="N89" i="1" s="1"/>
  <c r="J89" i="1"/>
  <c r="L89" i="1"/>
  <c r="M89" i="1"/>
  <c r="H88" i="1"/>
  <c r="N88" i="1" s="1"/>
  <c r="L88" i="1"/>
  <c r="M88" i="1"/>
  <c r="J88" i="1"/>
  <c r="G106" i="1"/>
  <c r="K106" i="1" s="1"/>
  <c r="G105" i="1"/>
  <c r="K105" i="1" s="1"/>
  <c r="G18" i="1"/>
  <c r="K18" i="1" s="1"/>
  <c r="G77" i="1"/>
  <c r="Q104" i="1"/>
  <c r="G100" i="1"/>
  <c r="K100" i="1" s="1"/>
  <c r="G86" i="1"/>
  <c r="L86" i="1" s="1"/>
  <c r="G98" i="1"/>
  <c r="M98" i="1" s="1"/>
  <c r="V151" i="1"/>
  <c r="L159" i="1" s="1"/>
  <c r="N143" i="1" l="1"/>
  <c r="E90" i="1"/>
  <c r="P90" i="1" s="1"/>
  <c r="I143" i="1"/>
  <c r="I89" i="1"/>
  <c r="P89" i="1" s="1"/>
  <c r="I88" i="1"/>
  <c r="P88" i="1" s="1"/>
  <c r="L18" i="1"/>
  <c r="M18" i="1"/>
  <c r="H106" i="1"/>
  <c r="N106" i="1" s="1"/>
  <c r="J106" i="1"/>
  <c r="L106" i="1"/>
  <c r="M106" i="1"/>
  <c r="J105" i="1"/>
  <c r="L105" i="1"/>
  <c r="M105" i="1"/>
  <c r="H105" i="1"/>
  <c r="N105" i="1" s="1"/>
  <c r="H18" i="1"/>
  <c r="N18" i="1" s="1"/>
  <c r="E19" i="1" s="1"/>
  <c r="G19" i="1" s="1"/>
  <c r="I19" i="1" s="1"/>
  <c r="P19" i="1" s="1"/>
  <c r="J18" i="1"/>
  <c r="K77" i="1"/>
  <c r="H77" i="1"/>
  <c r="J77" i="1"/>
  <c r="M77" i="1"/>
  <c r="L77" i="1"/>
  <c r="H100" i="1"/>
  <c r="N100" i="1" s="1"/>
  <c r="E101" i="1" s="1"/>
  <c r="P101" i="1" s="1"/>
  <c r="L100" i="1"/>
  <c r="M100" i="1"/>
  <c r="J100" i="1"/>
  <c r="J86" i="1"/>
  <c r="M86" i="1"/>
  <c r="K86" i="1"/>
  <c r="H86" i="1"/>
  <c r="J98" i="1"/>
  <c r="L98" i="1"/>
  <c r="K98" i="1"/>
  <c r="H98" i="1"/>
  <c r="N98" i="1" s="1"/>
  <c r="E99" i="1" s="1"/>
  <c r="P99" i="1" s="1"/>
  <c r="F75" i="1"/>
  <c r="G75" i="1" s="1"/>
  <c r="M75" i="1" s="1"/>
  <c r="O84" i="1"/>
  <c r="G84" i="1"/>
  <c r="H84" i="1" s="1"/>
  <c r="P143" i="1" l="1"/>
  <c r="X143" i="1" s="1"/>
  <c r="N77" i="1"/>
  <c r="E78" i="1"/>
  <c r="P78" i="1" s="1"/>
  <c r="E107" i="1"/>
  <c r="P107" i="1" s="1"/>
  <c r="I106" i="1"/>
  <c r="P106" i="1" s="1"/>
  <c r="I18" i="1"/>
  <c r="P18" i="1" s="1"/>
  <c r="I105" i="1"/>
  <c r="P105" i="1" s="1"/>
  <c r="I77" i="1"/>
  <c r="P77" i="1" s="1"/>
  <c r="I100" i="1"/>
  <c r="P100" i="1" s="1"/>
  <c r="I86" i="1"/>
  <c r="N86" i="1"/>
  <c r="E87" i="1" s="1"/>
  <c r="P87" i="1" s="1"/>
  <c r="I98" i="1"/>
  <c r="P98" i="1" s="1"/>
  <c r="L84" i="1"/>
  <c r="J84" i="1"/>
  <c r="K84" i="1"/>
  <c r="H75" i="1"/>
  <c r="N75" i="1" s="1"/>
  <c r="E76" i="1" s="1"/>
  <c r="P76" i="1" s="1"/>
  <c r="J75" i="1"/>
  <c r="K75" i="1"/>
  <c r="L75" i="1"/>
  <c r="N84" i="1"/>
  <c r="E85" i="1" s="1"/>
  <c r="P85" i="1" s="1"/>
  <c r="I84" i="1"/>
  <c r="M84" i="1"/>
  <c r="X105" i="1" l="1"/>
  <c r="P86" i="1"/>
  <c r="I75" i="1"/>
  <c r="P75" i="1" s="1"/>
  <c r="P84" i="1"/>
  <c r="Q95" i="1" l="1"/>
  <c r="G96" i="1" l="1"/>
  <c r="H96" i="1" s="1"/>
  <c r="G31" i="1"/>
  <c r="K31" i="1" s="1"/>
  <c r="J96" i="1" l="1"/>
  <c r="K96" i="1"/>
  <c r="L96" i="1"/>
  <c r="L31" i="1"/>
  <c r="M31" i="1"/>
  <c r="O31" i="1"/>
  <c r="M96" i="1"/>
  <c r="N96" i="1"/>
  <c r="E97" i="1" s="1"/>
  <c r="P97" i="1" s="1"/>
  <c r="I96" i="1"/>
  <c r="H31" i="1"/>
  <c r="N31" i="1" s="1"/>
  <c r="E32" i="1" s="1"/>
  <c r="P32" i="1" s="1"/>
  <c r="J31" i="1"/>
  <c r="O82" i="1"/>
  <c r="O151" i="1" l="1"/>
  <c r="P96" i="1"/>
  <c r="X96" i="1" s="1"/>
  <c r="I31" i="1"/>
  <c r="P31" i="1" s="1"/>
  <c r="G82" i="1" l="1"/>
  <c r="M82" i="1" s="1"/>
  <c r="J82" i="1" l="1"/>
  <c r="L82" i="1"/>
  <c r="H82" i="1"/>
  <c r="N82" i="1" s="1"/>
  <c r="E83" i="1" s="1"/>
  <c r="P83" i="1" s="1"/>
  <c r="K82" i="1"/>
  <c r="G80" i="1"/>
  <c r="M80" i="1" s="1"/>
  <c r="Q79" i="1"/>
  <c r="L161" i="1"/>
  <c r="G73" i="1"/>
  <c r="J73" i="1" s="1"/>
  <c r="I82" i="1" l="1"/>
  <c r="P82" i="1" s="1"/>
  <c r="J80" i="1"/>
  <c r="K80" i="1"/>
  <c r="H80" i="1"/>
  <c r="N80" i="1" s="1"/>
  <c r="E81" i="1" s="1"/>
  <c r="P81" i="1" s="1"/>
  <c r="L80" i="1"/>
  <c r="K73" i="1"/>
  <c r="H73" i="1"/>
  <c r="N73" i="1" s="1"/>
  <c r="E74" i="1" s="1"/>
  <c r="P74" i="1" s="1"/>
  <c r="L73" i="1"/>
  <c r="M73" i="1"/>
  <c r="G43" i="1"/>
  <c r="K43" i="1" s="1"/>
  <c r="I80" i="1" l="1"/>
  <c r="P80" i="1" s="1"/>
  <c r="X80" i="1" s="1"/>
  <c r="I73" i="1"/>
  <c r="P73" i="1" s="1"/>
  <c r="L43" i="1"/>
  <c r="M43" i="1"/>
  <c r="H43" i="1"/>
  <c r="N43" i="1" s="1"/>
  <c r="E44" i="1" s="1"/>
  <c r="G44" i="1" s="1"/>
  <c r="I44" i="1" s="1"/>
  <c r="P44" i="1" s="1"/>
  <c r="J43" i="1"/>
  <c r="I43" i="1" l="1"/>
  <c r="P43" i="1" s="1"/>
  <c r="G41" i="1"/>
  <c r="K41" i="1" s="1"/>
  <c r="N17" i="1"/>
  <c r="G71" i="1"/>
  <c r="K71" i="1" s="1"/>
  <c r="G52" i="1"/>
  <c r="K52" i="1" s="1"/>
  <c r="G64" i="1"/>
  <c r="K64" i="1" s="1"/>
  <c r="N70" i="1"/>
  <c r="N63" i="1"/>
  <c r="N68" i="1"/>
  <c r="G69" i="1"/>
  <c r="K69" i="1" s="1"/>
  <c r="L41" i="1" l="1"/>
  <c r="M41" i="1"/>
  <c r="H41" i="1"/>
  <c r="N41" i="1" s="1"/>
  <c r="E42" i="1" s="1"/>
  <c r="G42" i="1" s="1"/>
  <c r="I42" i="1" s="1"/>
  <c r="P42" i="1" s="1"/>
  <c r="J41" i="1"/>
  <c r="H71" i="1"/>
  <c r="N71" i="1" s="1"/>
  <c r="E72" i="1" s="1"/>
  <c r="P72" i="1" s="1"/>
  <c r="L71" i="1"/>
  <c r="M71" i="1"/>
  <c r="J71" i="1"/>
  <c r="L52" i="1"/>
  <c r="M52" i="1"/>
  <c r="H52" i="1"/>
  <c r="N52" i="1" s="1"/>
  <c r="E53" i="1" s="1"/>
  <c r="P53" i="1" s="1"/>
  <c r="J52" i="1"/>
  <c r="L64" i="1"/>
  <c r="M64" i="1"/>
  <c r="H64" i="1"/>
  <c r="N64" i="1" s="1"/>
  <c r="E65" i="1" s="1"/>
  <c r="P65" i="1" s="1"/>
  <c r="J64" i="1"/>
  <c r="M69" i="1"/>
  <c r="H69" i="1"/>
  <c r="I69" i="1" s="1"/>
  <c r="L69" i="1"/>
  <c r="J69" i="1"/>
  <c r="G67" i="1"/>
  <c r="K67" i="1" s="1"/>
  <c r="Q66" i="1"/>
  <c r="N62" i="1"/>
  <c r="G61" i="1"/>
  <c r="K61" i="1" s="1"/>
  <c r="Q20" i="1"/>
  <c r="Q7" i="1"/>
  <c r="G16" i="1"/>
  <c r="J16" i="1" s="1"/>
  <c r="I41" i="1" l="1"/>
  <c r="P41" i="1" s="1"/>
  <c r="I71" i="1"/>
  <c r="P71" i="1" s="1"/>
  <c r="I52" i="1"/>
  <c r="P52" i="1" s="1"/>
  <c r="I64" i="1"/>
  <c r="P64" i="1" s="1"/>
  <c r="N69" i="1"/>
  <c r="H67" i="1"/>
  <c r="I67" i="1" s="1"/>
  <c r="L67" i="1"/>
  <c r="M67" i="1"/>
  <c r="J67" i="1"/>
  <c r="L61" i="1"/>
  <c r="M61" i="1"/>
  <c r="H61" i="1"/>
  <c r="N61" i="1" s="1"/>
  <c r="E63" i="1" s="1"/>
  <c r="G63" i="1" s="1"/>
  <c r="I63" i="1" s="1"/>
  <c r="P63" i="1" s="1"/>
  <c r="J61" i="1"/>
  <c r="M16" i="1"/>
  <c r="L16" i="1"/>
  <c r="K16" i="1"/>
  <c r="H16" i="1"/>
  <c r="N16" i="1" s="1"/>
  <c r="E17" i="1" s="1"/>
  <c r="G17" i="1" s="1"/>
  <c r="I17" i="1" s="1"/>
  <c r="P17" i="1" s="1"/>
  <c r="G50" i="1"/>
  <c r="M50" i="1" s="1"/>
  <c r="P69" i="1" l="1"/>
  <c r="E70" i="1"/>
  <c r="G70" i="1" s="1"/>
  <c r="I70" i="1" s="1"/>
  <c r="P70" i="1" s="1"/>
  <c r="N67" i="1"/>
  <c r="I61" i="1"/>
  <c r="P61" i="1" s="1"/>
  <c r="I16" i="1"/>
  <c r="P16" i="1" s="1"/>
  <c r="J50" i="1"/>
  <c r="H50" i="1"/>
  <c r="N50" i="1" s="1"/>
  <c r="E51" i="1" s="1"/>
  <c r="G51" i="1" s="1"/>
  <c r="I51" i="1" s="1"/>
  <c r="P51" i="1" s="1"/>
  <c r="K50" i="1"/>
  <c r="L50" i="1"/>
  <c r="G49" i="1"/>
  <c r="I49" i="1" s="1"/>
  <c r="P49" i="1" s="1"/>
  <c r="P67" i="1" l="1"/>
  <c r="E68" i="1"/>
  <c r="G68" i="1" s="1"/>
  <c r="I68" i="1" s="1"/>
  <c r="P68" i="1" s="1"/>
  <c r="I50" i="1"/>
  <c r="P50" i="1" s="1"/>
  <c r="G40" i="1"/>
  <c r="I40" i="1" s="1"/>
  <c r="P40" i="1" s="1"/>
  <c r="G60" i="1"/>
  <c r="M60" i="1" s="1"/>
  <c r="Q59" i="1"/>
  <c r="X67" i="1" l="1"/>
  <c r="H60" i="1"/>
  <c r="N60" i="1" s="1"/>
  <c r="E62" i="1" s="1"/>
  <c r="G62" i="1" s="1"/>
  <c r="I62" i="1" s="1"/>
  <c r="P62" i="1" s="1"/>
  <c r="J60" i="1"/>
  <c r="K60" i="1"/>
  <c r="L60" i="1"/>
  <c r="G48" i="1"/>
  <c r="I48" i="1" s="1"/>
  <c r="P48" i="1" s="1"/>
  <c r="G47" i="1"/>
  <c r="J47" i="1" s="1"/>
  <c r="I60" i="1" l="1"/>
  <c r="P60" i="1" s="1"/>
  <c r="X60" i="1" s="1"/>
  <c r="M47" i="1"/>
  <c r="K47" i="1"/>
  <c r="H47" i="1"/>
  <c r="N47" i="1" s="1"/>
  <c r="L47" i="1"/>
  <c r="I47" i="1" l="1"/>
  <c r="P47" i="1" s="1"/>
  <c r="N39" i="1"/>
  <c r="G39" i="1"/>
  <c r="I39" i="1" s="1"/>
  <c r="G38" i="1"/>
  <c r="J38" i="1" s="1"/>
  <c r="G37" i="1"/>
  <c r="I37" i="1" s="1"/>
  <c r="P37" i="1" s="1"/>
  <c r="G36" i="1"/>
  <c r="L36" i="1" s="1"/>
  <c r="G35" i="1"/>
  <c r="J35" i="1" s="1"/>
  <c r="P39" i="1" l="1"/>
  <c r="J36" i="1"/>
  <c r="M36" i="1"/>
  <c r="K35" i="1"/>
  <c r="K38" i="1"/>
  <c r="H35" i="1"/>
  <c r="N35" i="1" s="1"/>
  <c r="L35" i="1"/>
  <c r="H38" i="1"/>
  <c r="N38" i="1" s="1"/>
  <c r="L38" i="1"/>
  <c r="M35" i="1"/>
  <c r="K36" i="1"/>
  <c r="M38" i="1"/>
  <c r="H36" i="1"/>
  <c r="I38" i="1" l="1"/>
  <c r="P38" i="1" s="1"/>
  <c r="I35" i="1"/>
  <c r="P35" i="1" s="1"/>
  <c r="I36" i="1"/>
  <c r="N36" i="1"/>
  <c r="P36" i="1" l="1"/>
  <c r="X35" i="1" s="1"/>
  <c r="G30" i="1" l="1"/>
  <c r="I30" i="1" s="1"/>
  <c r="N30" i="1"/>
  <c r="N29" i="1"/>
  <c r="G29" i="1"/>
  <c r="I29" i="1" s="1"/>
  <c r="P29" i="1" l="1"/>
  <c r="P30" i="1"/>
  <c r="N15" i="1"/>
  <c r="G46" i="1" l="1"/>
  <c r="L46" i="1" s="1"/>
  <c r="M46" i="1" l="1"/>
  <c r="J46" i="1"/>
  <c r="H46" i="1"/>
  <c r="N46" i="1" s="1"/>
  <c r="K46" i="1"/>
  <c r="I46" i="1" l="1"/>
  <c r="P46" i="1" s="1"/>
  <c r="X46" i="1" s="1"/>
  <c r="G28" i="1" l="1"/>
  <c r="K28" i="1" s="1"/>
  <c r="G27" i="1"/>
  <c r="L27" i="1" s="1"/>
  <c r="P26" i="1"/>
  <c r="G25" i="1"/>
  <c r="M25" i="1" s="1"/>
  <c r="P24" i="1"/>
  <c r="G23" i="1"/>
  <c r="H23" i="1" s="1"/>
  <c r="N23" i="1" s="1"/>
  <c r="P22" i="1"/>
  <c r="G21" i="1"/>
  <c r="J21" i="1" s="1"/>
  <c r="K27" i="1" l="1"/>
  <c r="J27" i="1"/>
  <c r="M27" i="1"/>
  <c r="M21" i="1"/>
  <c r="J28" i="1"/>
  <c r="H21" i="1"/>
  <c r="I21" i="1" s="1"/>
  <c r="L25" i="1"/>
  <c r="K21" i="1"/>
  <c r="L21" i="1"/>
  <c r="I23" i="1"/>
  <c r="J23" i="1"/>
  <c r="K23" i="1"/>
  <c r="L23" i="1"/>
  <c r="J25" i="1"/>
  <c r="H27" i="1"/>
  <c r="N27" i="1" s="1"/>
  <c r="H25" i="1"/>
  <c r="N25" i="1" s="1"/>
  <c r="M23" i="1"/>
  <c r="K25" i="1"/>
  <c r="H28" i="1"/>
  <c r="G14" i="1"/>
  <c r="K14" i="1" s="1"/>
  <c r="P23" i="1" l="1"/>
  <c r="N21" i="1"/>
  <c r="P21" i="1" s="1"/>
  <c r="I28" i="1"/>
  <c r="N28" i="1"/>
  <c r="I27" i="1"/>
  <c r="P27" i="1" s="1"/>
  <c r="I25" i="1"/>
  <c r="P25" i="1" s="1"/>
  <c r="H14" i="1"/>
  <c r="N14" i="1" s="1"/>
  <c r="E15" i="1" s="1"/>
  <c r="G15" i="1" s="1"/>
  <c r="I15" i="1" s="1"/>
  <c r="P15" i="1" s="1"/>
  <c r="J14" i="1"/>
  <c r="P28" i="1" l="1"/>
  <c r="X21" i="1" s="1"/>
  <c r="I14" i="1"/>
  <c r="P14" i="1" s="1"/>
  <c r="P13" i="1"/>
  <c r="P12" i="1"/>
  <c r="G11" i="1"/>
  <c r="M11" i="1" s="1"/>
  <c r="G10" i="1"/>
  <c r="M10" i="1" s="1"/>
  <c r="P9" i="1"/>
  <c r="G8" i="1"/>
  <c r="L8" i="1" s="1"/>
  <c r="L10" i="1" l="1"/>
  <c r="J11" i="1"/>
  <c r="H11" i="1"/>
  <c r="N11" i="1" s="1"/>
  <c r="H10" i="1"/>
  <c r="N10" i="1" s="1"/>
  <c r="L11" i="1"/>
  <c r="J10" i="1"/>
  <c r="K11" i="1"/>
  <c r="K10" i="1"/>
  <c r="H8" i="1"/>
  <c r="J8" i="1"/>
  <c r="M8" i="1"/>
  <c r="M151" i="1" s="1"/>
  <c r="K8" i="1"/>
  <c r="L151" i="1" l="1"/>
  <c r="K151" i="1"/>
  <c r="I11" i="1"/>
  <c r="P11" i="1" s="1"/>
  <c r="I10" i="1"/>
  <c r="P10" i="1" s="1"/>
  <c r="I8" i="1"/>
  <c r="N8" i="1"/>
  <c r="N151" i="1" s="1"/>
  <c r="L163" i="1" l="1"/>
  <c r="I151" i="1"/>
  <c r="L157" i="1" s="1"/>
  <c r="L160" i="1"/>
  <c r="P8" i="1"/>
  <c r="P151" i="1" l="1"/>
  <c r="X8" i="1"/>
  <c r="V152" i="1" l="1"/>
  <c r="L158" i="1" s="1"/>
  <c r="X151" i="1"/>
  <c r="L162" i="1" l="1"/>
</calcChain>
</file>

<file path=xl/sharedStrings.xml><?xml version="1.0" encoding="utf-8"?>
<sst xmlns="http://schemas.openxmlformats.org/spreadsheetml/2006/main" count="231" uniqueCount="146">
  <si>
    <t>Amount</t>
  </si>
  <si>
    <t>UTR</t>
  </si>
  <si>
    <t>Total Payable Amount Rs. -</t>
  </si>
  <si>
    <t>Badhpura VILLAGE- Pipe Line Work </t>
  </si>
  <si>
    <t>05-11-2022 NEFT/AXISP00334807145/RIUP22/1186/PUNDIR CONTRACT 376263.00</t>
  </si>
  <si>
    <t>23-11-2022 NEFT/AXISP00339736216/RIUP22/1337/PUNDIR CONTRACT 93957.00</t>
  </si>
  <si>
    <t>09-12-2022 NEFT/AXISP00345325357/RIUP22/1468/PUNDIR CONTRACT 188460.00</t>
  </si>
  <si>
    <t>06-01-2023 NEFT/AXISP00352522092/RIUP22/1798/PUNDIR CONTRACT 104855.00</t>
  </si>
  <si>
    <t>18-01-2023 NEFT/AXISP00355697025/RIUP22/1868/PUNDIR CONTRACT ₹ 72,057.00</t>
  </si>
  <si>
    <t>23-01-2023 NEFT/AXISP00356620200/RIUP22/1939/PUNDIR CONTRACT ₹ 99,000.00</t>
  </si>
  <si>
    <t>16-02-2023 NEFT/AXISP00363867491/RIUP22/2197/PUNDIR CONTRACT ₹ 49,500.00</t>
  </si>
  <si>
    <t>Khivari VILLAGE- Pipe Line Work </t>
  </si>
  <si>
    <t>GST release note</t>
  </si>
  <si>
    <t>09-01-2023 NEFT/AXISP00353549285/RIUP22/1820/PUNDIR CONTRACTOR 377230.00</t>
  </si>
  <si>
    <t>04-03-2023 NEFT/AXISP00368679029/RIUP22/2455/PUNDIR CONTRACT 297000.00</t>
  </si>
  <si>
    <t>14-03-2023 NEFT/AXISP00371304697/RIUP22/2567/PUNDIR CONTRACT 148500.00</t>
  </si>
  <si>
    <t>11-04-2023 NEFT/AXISP00380905283/SPUP23/0072/PUNDIR CONTRACT 49500.00</t>
  </si>
  <si>
    <t>20-04-2023 20-04-2023 NEFT/AXISP00383281367/SPUP23/0213/PUNDIR CONTRACT 297000.00</t>
  </si>
  <si>
    <t>02-05-2023 NEFT/AXISP00386671976/RIUP23/055/PUNDIR ₹ 2,28,819.00</t>
  </si>
  <si>
    <t>02-05-2023 NEFT/AXISP00386671977/RIUP23/054/PUNDIR ₹ 39,736.00</t>
  </si>
  <si>
    <t>18-05-2023 NEFT/AXISP00391091649/RIUP23/282/PUNDIR CONTRACTO 97226.00</t>
  </si>
  <si>
    <t>Mohammadpur Rai VILLAGE- Pipe Line Work </t>
  </si>
  <si>
    <t>24-07-2023 NEFT/AXISP00408776188/RIUP23/1186/PUNDIR CONTRACT 99000.00</t>
  </si>
  <si>
    <t>29-05-2023 NEFT/AXISP00393085066/RIUP23/423/PUNDIR CONTRACTO 278936.00</t>
  </si>
  <si>
    <t>19-06-2023 NEFT/AXISP00399545670/RIUP23/712/PUNDIR CONTRACTO 80138.00</t>
  </si>
  <si>
    <t>15-07-2023 NEFT/AXISP00407218704/RIUP23/1079/PUNDIR CONTRACT 68866.00</t>
  </si>
  <si>
    <t>Asadpur Bamnauli VILLAGE- Pipe Line Work </t>
  </si>
  <si>
    <t>26-06-2023 NEFT/AXISP00400451245/RIUP23/887/PUNDIR CONTRACTOR 148500.00</t>
  </si>
  <si>
    <t>19-07-2023 NEFT/AXISP00407912722/RIUP23/1141/PUNDIR CONTRACT ₹ 99,000.00</t>
  </si>
  <si>
    <t>14-08-2023 NEFT/AXISP00415473410/RIUP23/1491/PUNDIR CONTRACT 17519.00</t>
  </si>
  <si>
    <t>14-08-2023 NEFT/AXISP00415763061/RIUP23/1524/PUNDIR CONTRACT ₹ 79,200.00</t>
  </si>
  <si>
    <t>16-09-2023 NEFT/AXISP00425496277/RIUP23/2041/PUNDIR CONTRACTOR/PUNB0166010 ₹ 9,070.00</t>
  </si>
  <si>
    <t>10-08-2023 NEFT/AXISP00414696959/RIUP23/1431/PUNDIR CONTRACT 57662.00</t>
  </si>
  <si>
    <t>18-09-2023 NEFT/AXISP00425751836/RIUP23/2040/PUNDIR CONTRACTOR/PUNB0166010 21359.00</t>
  </si>
  <si>
    <t>13-09-2023 NEFT/AXISP00424687444/RIUP23/1999/PUNDIR CONTRACTOR/PUNB0166010 6477.00</t>
  </si>
  <si>
    <t>16-09-2023 NEFT/AXISP00425496276/RIUP23/2042/PUNDIR CONTRACTOR/PUNB0166010 ₹ 65,751.00</t>
  </si>
  <si>
    <t>GST Release note</t>
  </si>
  <si>
    <t>Bamnoli Kairana  VILLAGE- Pipe Line Work </t>
  </si>
  <si>
    <t>11-09-2023 NEFT/AXISP00423685739/RIUP23/1958/PUNDIR CONTRACTOR/PUNB0166010 99000.00</t>
  </si>
  <si>
    <t>GST RELEASE NOTE</t>
  </si>
  <si>
    <t>17-10-2023 NEFT/AXISP00435127450/RIUP23/2688/PUNDIR CONTRACTOR/PUNB0166010 16033.00</t>
  </si>
  <si>
    <t>25-08-2023 NEFT/AXISP00418295270/RIUP23/1701/PUNDIR CONTRACTOR  148500.00</t>
  </si>
  <si>
    <t>25-10-2023 NEFT/AXISP00436731131/RIUP23/2859/PUNDIR CONTRACTOR/PUNB0166010 99000.00</t>
  </si>
  <si>
    <t>18-11-2023 NEFT/AXISP00445057526/RIUP23/3300/PUNDIR CONTRACTOR/PUNB0166010 48968.00</t>
  </si>
  <si>
    <t>18-12-2023 NEFT/AXISP00453898724/RIUP23/3809/PUNDIR CONTRACTOR/PUNB0166010 81129.00</t>
  </si>
  <si>
    <t>17-10-2023 NEFT/AXISP00435127449/RIUP23/2687/PUNDIR CONTRACTOR/PUNB0166010 32881.00</t>
  </si>
  <si>
    <t>09-11-2023 NEFT/AXISP00442541954/RIUP23/3182/PUNDIR CONTRACTOR/PUNB0166010 198000.00</t>
  </si>
  <si>
    <t>29-11-2023 NEFT/AXISP00447355235/RIUP23/3481/PUNDIR CONTRACTOR/PUNB0166010 135530.00</t>
  </si>
  <si>
    <t>18-12-2023 NEFT/AXISP00453885480/RIUP23/3838/PUNDIR CONTRACTOR/PUNB0166010 148500.00</t>
  </si>
  <si>
    <t>10-01-2024 NEFT/AXISP00461151268/RIUP23/4142/PUNDIR CONTRACTOR/PUNB0166010 39001.00</t>
  </si>
  <si>
    <t xml:space="preserve">Hold Amount </t>
  </si>
  <si>
    <t>Advance / Surplus</t>
  </si>
  <si>
    <t>15-01-2024 NEFT/AXISP00462583112/RIUP23/4269/PUNDIR CONTRACTOR/PUNB0166010 49500.00</t>
  </si>
  <si>
    <t>01-02-2024 NEFT/AXISP00467277206/RIUP23/4375/PUNDIR CONTRACTOR/PUNB0166010 104379.00</t>
  </si>
  <si>
    <t>18-01-2024 NEFT/AXISP00463439411/RIUP23/4327/PUNDIR CONTRACTOR/PUNB0166010 17002.00</t>
  </si>
  <si>
    <t>26-02-2024 NEFT/AXISP00473983981/RIUP23/4693/PUNDIR CONTRACTOR/PUNB0166010 27320.00</t>
  </si>
  <si>
    <t>26-02-2024 NEFT/AXISP00473983982/RIUP23/4694/PUNDIR CONTRACTOR/PUNB0166010 57788.00</t>
  </si>
  <si>
    <t>24-04-2024 NEFT/AXISP00493457028/RIUP24/0255/PUNDIR CONTRACTOR/PUNB0166010 38651.00</t>
  </si>
  <si>
    <t>28-05-2024 NEFT/AXISP00503313836/RIUP24/0633/PUNDIR CONTRACTOR/PUNB0166010 247500.00</t>
  </si>
  <si>
    <t>18-07-2024 NEFT/AXISP00519773559/RIUP24/1174/PUNDIR CONTRACTOR/PUNB0166010 297000.00</t>
  </si>
  <si>
    <t>Pundir Contractor</t>
  </si>
  <si>
    <t>GST Remaining</t>
  </si>
  <si>
    <t>03-08-2024 NEFT/AXISP00524511284/RIUP24/1354/PUNDIR CONTRACTOR/PUNB0166010 198000.00</t>
  </si>
  <si>
    <t>20-08-2024 NEFT/AXISP00530112324/RIUP24/1509/PUNDIR CONTRACTOR/PUNB0166010 79200.00</t>
  </si>
  <si>
    <t>21-08-2024 NEFT/AXISP00530350670/RIUP24/1510/PUNDIR CONTRACTOR/PUNB0166010 168300.00</t>
  </si>
  <si>
    <t>DPR Excess Hold</t>
  </si>
  <si>
    <t>10-09-2024 NEFT/AXISP00538525504/RIUP24/1734/PUNDIR CONTRACTOR/PUNB0166010 99000.00</t>
  </si>
  <si>
    <t>29-08-2024 NEFT/AXISP00533195027/RIUP24/1579/PUNDIR CONTRACTOR/PUNB0166010 99000.00</t>
  </si>
  <si>
    <t>18-09-2024 NEFT/AXISP00541733391/RIUP24/1835/PUNDIR CONTRACTOR/PUNB0166010 49500.00</t>
  </si>
  <si>
    <t>20-08-2024 NEFT/AXISP00530112325/RIUP24/1511/PUNDIR CONTRACTOR/PUNB0166010 49500.00</t>
  </si>
  <si>
    <t>26-09-2024 NEFT/AXISP00544686595/RIUP24/1935/PUNDIR CONTRACTOR/PUNB0166010 99000.00</t>
  </si>
  <si>
    <t>05-10-2024 NEFT/AXISP00549438830/RIUP24/2128/PUNDIR CONTRACTOR/PUNB0166010 148500.00</t>
  </si>
  <si>
    <t>21-10-2024 NEFT/AXISP00556268915/RIUP24/2254/PUNDIR CONTRACTOR/PUNB0166010 118800.00</t>
  </si>
  <si>
    <t>30-10-2024 NEFT/AXISP00561389908/RIUP24/2367/PUNDIR CONTRACTOR/PUNB0166010 148500.00</t>
  </si>
  <si>
    <t>14-11-2024 NEFT/AXISP00569818239/RIUP24/2483/PUNDIR CONTRACTOR/PUNB0166010 148500.00</t>
  </si>
  <si>
    <t>28-11-2024 NEFT/AXISP00575911964/RIUP24/2571/PUNDIR CONTRACTOR/PUNB0166010 99000.00</t>
  </si>
  <si>
    <t>04-12-2024 NEFT/AXISP00579764038/RIUP24/2626/PUNDIR CONTRACTOR/PUNB0166010 99000.00</t>
  </si>
  <si>
    <t>13-12-2024 NEFT/AXISP00583928107/RIUP24/2692/PUNDIR CONTRACTOR/PUNB0166010 99000.00</t>
  </si>
  <si>
    <t>07-01-2025 NEFT/AXISP00595145647/RIUP24/2861/PUNDIR CONTRACTOR/PUNB0166010 148500.00</t>
  </si>
  <si>
    <t>20-01-2025 NEFT/AXISP00600730125/RIUP24/2974/PUNDIR CONTRACTOR/PUNB0166010 200000.00</t>
  </si>
  <si>
    <t>30-01-2025 NEFT/AXISP00606020254/RIUP24/3060/PUNDIR CONTRACTOR/PUNB0166010 99000.00</t>
  </si>
  <si>
    <t>14-02-2025 NEFT/AXISP00616404529/RIUP24/3172/PUNDIR CONTRACTOR/PUNB0166010 99000.00</t>
  </si>
  <si>
    <t>14-02-2025 NEFT/AXISP00616404528/RIUP24/3171/PUNDIR CONTRACTOR/PUNB0166010 99000.00</t>
  </si>
  <si>
    <t>06-03-2025 NEFT/AXISP00629048191/RIUP24/3356/PUNDIR CONTRACTOR/PUNB0166010 99000.00</t>
  </si>
  <si>
    <t>06-03-2025 NEFT/AXISP00629048192/RIUP24/3357/PUNDIR CONTRACTOR/PUNB0166010 198000.00</t>
  </si>
  <si>
    <t>13-03-2025 NEFT/AXISP00633031177/RIUP24/3420/PUNDIR CONTRACTOR/PUNB0166010 99000.00</t>
  </si>
  <si>
    <t>13-03-2025 NEFT/AXISP00633031176/RIUP24/3421/PUNDIR CONTRACTOR/PUNB0166010 49500.00</t>
  </si>
  <si>
    <t>14 &amp; 15</t>
  </si>
  <si>
    <t>28-03-2025 NEFT/AXISP00641450828/RIUP24/3509/PUNDIR CONTRACTOR/PUNB0166010 99000.00</t>
  </si>
  <si>
    <t>09-04-2025 NEFT/AXISP00648889485/RIUP25/0065/PUNDIR CONTRACTOR/PUNB0166010 99000.00</t>
  </si>
  <si>
    <t>09-04-2025 NEFT/AXISP00648889484/RIUP25/0064/PUNDIR CONTRACTOR/PUNB0166010 74250.00</t>
  </si>
  <si>
    <t>16 &amp; 18</t>
  </si>
  <si>
    <t>02-05-2025 NEFT/AXISP00660145762/RIUP25/0190/PUNDIR CONTRACTOR/PUNB0166010 148500.00</t>
  </si>
  <si>
    <t>08-05-2025 NEFT/AXISP00663252909/RIUP25/0224/PUNDIR CONTRACTOR/PUNB0166010 173250.00</t>
  </si>
  <si>
    <t>15-05-2025 NEFT/AXISP00666023349/RIUP25/0253/PUNDIR CONTRACTOR/PUNB0166010 198000.00</t>
  </si>
  <si>
    <t>Total Bill Amount with GST</t>
  </si>
  <si>
    <t>11-09-2023 NEFT/AXISP00423685738/RIUP23/1957/PUNDIR CONTRACTOR/PUNB0166010 49500.00</t>
  </si>
  <si>
    <t>05-06-2025 NEFT/AXISP00675041578/RIUP25/0419/PUNDIR CONTRACTOR/PUNB0166010 198000.00</t>
  </si>
  <si>
    <t>09-07-2025 NEFT/AXISP00688754315/RIUP25/0606/PUNDIR CONTRACTOR/PUNB0166010 99000.00</t>
  </si>
  <si>
    <t>11-07-2025 NEFT/AXISP00689824267/RIUP25/0655/PUNDIR CONTRACTOR/PUNB0166010 99000.00</t>
  </si>
  <si>
    <t>23-05-2025 NEFT/AXISP00669293555/RIUP25/0324/PUNDIR CONTRACTOR/PUNB0166010 49500.00</t>
  </si>
  <si>
    <t>GST Release Note</t>
  </si>
  <si>
    <t>23-05-2025 NEFT/AXISP00669293556/RIUP25/0325/PUNDIR CONTRACTOR/PUNB0166010 50000.00</t>
  </si>
  <si>
    <t>05-06-2025 NEFT/AXISP00675041576/RIUP25/0418/PUNDIR CONTRACTOR/PUNB0166010 297000.00</t>
  </si>
  <si>
    <t>23-06-2025 NEFT/AXISP00681739129/RIUP25/0534/PUNDIR CONTRACTOR/PUNB0166010 148500.00</t>
  </si>
  <si>
    <t>19-07-2025 NEFT/AXISP00692182490/RIUP25/0717/PUNDIR CONTRACTOR/PUNB0166010 148500.00</t>
  </si>
  <si>
    <t>14 A</t>
  </si>
  <si>
    <t>15 B</t>
  </si>
  <si>
    <t>balance payable</t>
  </si>
  <si>
    <t>Total Paid amount</t>
  </si>
  <si>
    <t>Asadpur Bamnauli Debit Note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</si>
  <si>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</si>
  <si>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</si>
  <si>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</si>
  <si>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</si>
  <si>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</si>
  <si>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</si>
  <si>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Invoice_Details</t>
  </si>
  <si>
    <t>Invoice_Date</t>
  </si>
  <si>
    <t>PMC_No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</si>
  <si>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</si>
  <si>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</si>
  <si>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</si>
  <si>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</si>
  <si>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</si>
  <si>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</si>
  <si>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</si>
  <si>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</si>
  <si>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</si>
  <si>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</si>
  <si>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</si>
  <si>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</si>
  <si>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BOQ_Amount</t>
  </si>
  <si>
    <t>Total_Amount</t>
  </si>
  <si>
    <t>Balance_ Amount</t>
  </si>
  <si>
    <t>TDS_Payment_Amount</t>
  </si>
  <si>
    <t>Payment_Amount</t>
  </si>
  <si>
    <t>BARALA KUKARHERI VILLAGE PIPE LINE WOR</t>
  </si>
  <si>
    <t>JIJAULA  ALIPURA Village - Pipeline work</t>
  </si>
  <si>
    <t>Alipur Village kairana - Pipeline work</t>
  </si>
  <si>
    <t>Dabheri Khurd village kairana - Pipeline work</t>
  </si>
  <si>
    <t>madalapur Village Thana Bhawan Pipeline work</t>
  </si>
  <si>
    <t>Mawi NON Ahatmal Village kairana - Pipeline work</t>
  </si>
  <si>
    <t>Bibipur Haitya Village kairana - Pipeline work</t>
  </si>
  <si>
    <t>mamaur Village kairana - Pipeline work</t>
  </si>
  <si>
    <t>kaserwa Khrud  village kairana -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</si>
</sst>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 Light"/>
      <family val="2"/>
      <scheme val="major"/>
    </font>
    <font>
      <sz val="9"/>
      <color theme="1"/>
      <name val="Calibri Light"/>
      <family val="2"/>
    </font>
    <font>
      <sz val="9"/>
      <color rgb="FFFF0000"/>
      <name val="Calibri Light"/>
      <family val="2"/>
    </font>
    <font>
      <b/>
      <sz val="9"/>
      <color theme="1"/>
      <name val="Calibri Light"/>
      <family val="2"/>
    </font>
    <font>
      <sz val="11"/>
      <color theme="1"/>
      <name val="Calibri Light"/>
      <family val="2"/>
    </font>
    <font>
      <sz val="9"/>
      <color rgb="FF333333"/>
      <name val="Calibri Light"/>
      <family val="2"/>
    </font>
    <font>
      <b/>
      <sz val="9"/>
      <color rgb="FFFF0000"/>
      <name val="Calibri Light"/>
      <family val="2"/>
    </font>
    <font>
      <sz val="10"/>
      <color theme="1"/>
      <name val="Calibri Light"/>
      <family val="2"/>
      <scheme val="major"/>
    </font>
    <font>
      <sz val="9"/>
      <name val="Calibri Light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1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43" fontId="2" fillId="2" borderId="9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3" borderId="5" xfId="1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2" fillId="2" borderId="2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164" fontId="7" fillId="2" borderId="7" xfId="1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15" fontId="8" fillId="2" borderId="5" xfId="0" applyNumberFormat="1" applyFont="1" applyFill="1" applyBorder="1" applyAlignment="1">
      <alignment horizontal="center" vertical="center"/>
    </xf>
    <xf numFmtId="43" fontId="8" fillId="2" borderId="5" xfId="1" applyNumberFormat="1" applyFont="1" applyFill="1" applyBorder="1" applyAlignment="1">
      <alignment vertical="center"/>
    </xf>
    <xf numFmtId="43" fontId="9" fillId="5" borderId="5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/>
    </xf>
    <xf numFmtId="14" fontId="8" fillId="2" borderId="5" xfId="0" applyNumberFormat="1" applyFont="1" applyFill="1" applyBorder="1" applyAlignment="1">
      <alignment horizontal="center" vertical="center"/>
    </xf>
    <xf numFmtId="0" fontId="8" fillId="2" borderId="5" xfId="1" applyNumberFormat="1" applyFont="1" applyFill="1" applyBorder="1" applyAlignment="1">
      <alignment vertical="center"/>
    </xf>
    <xf numFmtId="14" fontId="8" fillId="2" borderId="5" xfId="1" applyNumberFormat="1" applyFont="1" applyFill="1" applyBorder="1" applyAlignment="1">
      <alignment vertical="center"/>
    </xf>
    <xf numFmtId="43" fontId="8" fillId="0" borderId="5" xfId="1" applyNumberFormat="1" applyFont="1" applyFill="1" applyBorder="1" applyAlignment="1">
      <alignment vertical="center"/>
    </xf>
    <xf numFmtId="0" fontId="8" fillId="3" borderId="5" xfId="0" applyFont="1" applyFill="1" applyBorder="1" applyAlignment="1">
      <alignment horizontal="center" vertical="center"/>
    </xf>
    <xf numFmtId="43" fontId="8" fillId="3" borderId="5" xfId="1" applyNumberFormat="1" applyFont="1" applyFill="1" applyBorder="1" applyAlignment="1">
      <alignment vertical="center"/>
    </xf>
    <xf numFmtId="0" fontId="10" fillId="4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/>
    </xf>
    <xf numFmtId="0" fontId="12" fillId="0" borderId="5" xfId="0" applyFont="1" applyBorder="1"/>
    <xf numFmtId="0" fontId="11" fillId="2" borderId="5" xfId="0" applyFont="1" applyFill="1" applyBorder="1" applyAlignment="1">
      <alignment vertical="center"/>
    </xf>
    <xf numFmtId="0" fontId="8" fillId="3" borderId="5" xfId="1" applyNumberFormat="1" applyFont="1" applyFill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10" fillId="2" borderId="11" xfId="1" applyNumberFormat="1" applyFont="1" applyFill="1" applyBorder="1" applyAlignment="1">
      <alignment vertical="center" wrapText="1"/>
    </xf>
    <xf numFmtId="0" fontId="8" fillId="2" borderId="11" xfId="1" applyNumberFormat="1" applyFont="1" applyFill="1" applyBorder="1" applyAlignment="1">
      <alignment vertical="center" wrapText="1"/>
    </xf>
    <xf numFmtId="14" fontId="8" fillId="2" borderId="5" xfId="1" applyNumberFormat="1" applyFont="1" applyFill="1" applyBorder="1" applyAlignment="1">
      <alignment horizontal="center" vertical="center"/>
    </xf>
    <xf numFmtId="0" fontId="10" fillId="4" borderId="5" xfId="1" applyNumberFormat="1" applyFont="1" applyFill="1" applyBorder="1" applyAlignment="1">
      <alignment horizontal="center" vertical="center"/>
    </xf>
    <xf numFmtId="0" fontId="8" fillId="3" borderId="5" xfId="1" applyNumberFormat="1" applyFont="1" applyFill="1" applyBorder="1" applyAlignment="1">
      <alignment horizontal="center" vertical="center"/>
    </xf>
    <xf numFmtId="15" fontId="8" fillId="3" borderId="5" xfId="0" applyNumberFormat="1" applyFont="1" applyFill="1" applyBorder="1" applyAlignment="1">
      <alignment horizontal="center" vertical="center"/>
    </xf>
    <xf numFmtId="0" fontId="8" fillId="2" borderId="16" xfId="1" applyNumberFormat="1" applyFont="1" applyFill="1" applyBorder="1" applyAlignment="1">
      <alignment vertical="center"/>
    </xf>
    <xf numFmtId="0" fontId="8" fillId="2" borderId="3" xfId="1" applyNumberFormat="1" applyFont="1" applyFill="1" applyBorder="1" applyAlignment="1">
      <alignment vertical="center"/>
    </xf>
    <xf numFmtId="43" fontId="8" fillId="2" borderId="17" xfId="1" applyNumberFormat="1" applyFont="1" applyFill="1" applyBorder="1" applyAlignment="1">
      <alignment vertical="center"/>
    </xf>
    <xf numFmtId="0" fontId="10" fillId="2" borderId="22" xfId="1" applyNumberFormat="1" applyFont="1" applyFill="1" applyBorder="1" applyAlignment="1">
      <alignment vertical="center" wrapText="1"/>
    </xf>
    <xf numFmtId="0" fontId="8" fillId="2" borderId="3" xfId="1" applyNumberFormat="1" applyFont="1" applyFill="1" applyBorder="1" applyAlignment="1">
      <alignment vertical="center" wrapText="1"/>
    </xf>
    <xf numFmtId="0" fontId="8" fillId="2" borderId="21" xfId="0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vertical="center"/>
    </xf>
    <xf numFmtId="14" fontId="8" fillId="2" borderId="21" xfId="1" applyNumberFormat="1" applyFont="1" applyFill="1" applyBorder="1" applyAlignment="1">
      <alignment vertical="center"/>
    </xf>
    <xf numFmtId="43" fontId="9" fillId="5" borderId="21" xfId="1" applyNumberFormat="1" applyFont="1" applyFill="1" applyBorder="1" applyAlignment="1">
      <alignment vertical="center"/>
    </xf>
    <xf numFmtId="0" fontId="10" fillId="2" borderId="23" xfId="1" applyNumberFormat="1" applyFont="1" applyFill="1" applyBorder="1" applyAlignment="1">
      <alignment vertical="center" wrapText="1"/>
    </xf>
    <xf numFmtId="43" fontId="8" fillId="2" borderId="15" xfId="1" applyNumberFormat="1" applyFont="1" applyFill="1" applyBorder="1" applyAlignment="1">
      <alignment vertical="center"/>
    </xf>
    <xf numFmtId="0" fontId="10" fillId="4" borderId="16" xfId="1" applyNumberFormat="1" applyFont="1" applyFill="1" applyBorder="1" applyAlignment="1">
      <alignment horizontal="center" vertical="center"/>
    </xf>
    <xf numFmtId="0" fontId="8" fillId="3" borderId="3" xfId="1" applyNumberFormat="1" applyFont="1" applyFill="1" applyBorder="1" applyAlignment="1">
      <alignment horizontal="center" vertical="center"/>
    </xf>
    <xf numFmtId="43" fontId="8" fillId="3" borderId="17" xfId="1" applyNumberFormat="1" applyFont="1" applyFill="1" applyBorder="1" applyAlignment="1">
      <alignment vertical="center"/>
    </xf>
    <xf numFmtId="0" fontId="13" fillId="2" borderId="23" xfId="1" applyNumberFormat="1" applyFont="1" applyFill="1" applyBorder="1" applyAlignment="1">
      <alignment vertical="center" wrapText="1"/>
    </xf>
    <xf numFmtId="0" fontId="9" fillId="2" borderId="3" xfId="1" applyNumberFormat="1" applyFont="1" applyFill="1" applyBorder="1" applyAlignment="1">
      <alignment vertical="center" wrapText="1"/>
    </xf>
    <xf numFmtId="0" fontId="13" fillId="2" borderId="23" xfId="1" applyNumberFormat="1" applyFont="1" applyFill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vertical="center"/>
    </xf>
    <xf numFmtId="43" fontId="10" fillId="2" borderId="9" xfId="1" applyNumberFormat="1" applyFont="1" applyFill="1" applyBorder="1" applyAlignment="1">
      <alignment vertical="center"/>
    </xf>
    <xf numFmtId="0" fontId="8" fillId="2" borderId="9" xfId="1" applyNumberFormat="1" applyFont="1" applyFill="1" applyBorder="1" applyAlignment="1">
      <alignment vertical="center"/>
    </xf>
    <xf numFmtId="0" fontId="8" fillId="2" borderId="21" xfId="1" applyNumberFormat="1" applyFont="1" applyFill="1" applyBorder="1" applyAlignment="1">
      <alignment vertical="center"/>
    </xf>
    <xf numFmtId="43" fontId="8" fillId="2" borderId="10" xfId="1" applyNumberFormat="1" applyFont="1" applyFill="1" applyBorder="1" applyAlignment="1">
      <alignment vertical="center"/>
    </xf>
    <xf numFmtId="43" fontId="10" fillId="2" borderId="10" xfId="1" applyNumberFormat="1" applyFont="1" applyFill="1" applyBorder="1" applyAlignment="1">
      <alignment vertical="center"/>
    </xf>
    <xf numFmtId="0" fontId="8" fillId="2" borderId="10" xfId="1" applyNumberFormat="1" applyFont="1" applyFill="1" applyBorder="1" applyAlignment="1">
      <alignment vertical="center"/>
    </xf>
    <xf numFmtId="164" fontId="14" fillId="2" borderId="5" xfId="1" applyFont="1" applyFill="1" applyBorder="1" applyAlignment="1">
      <alignment vertical="center"/>
    </xf>
    <xf numFmtId="43" fontId="8" fillId="5" borderId="5" xfId="1" applyNumberFormat="1" applyFont="1" applyFill="1" applyBorder="1" applyAlignment="1">
      <alignment vertical="center"/>
    </xf>
    <xf numFmtId="0" fontId="4" fillId="0" borderId="0" xfId="0" applyFont="1"/>
    <xf numFmtId="43" fontId="8" fillId="0" borderId="5" xfId="0" applyNumberFormat="1" applyFont="1" applyBorder="1" applyAlignment="1">
      <alignment horizontal="center" vertical="center" wrapText="1"/>
    </xf>
    <xf numFmtId="43" fontId="8" fillId="2" borderId="5" xfId="0" applyNumberFormat="1" applyFont="1" applyFill="1" applyBorder="1" applyAlignment="1">
      <alignment horizontal="center" vertical="center" wrapText="1"/>
    </xf>
    <xf numFmtId="15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3" fontId="9" fillId="0" borderId="5" xfId="1" applyNumberFormat="1" applyFont="1" applyFill="1" applyBorder="1" applyAlignment="1">
      <alignment vertical="center"/>
    </xf>
    <xf numFmtId="43" fontId="8" fillId="2" borderId="5" xfId="1" applyNumberFormat="1" applyFont="1" applyFill="1" applyBorder="1" applyAlignment="1">
      <alignment horizontal="right" vertical="center"/>
    </xf>
    <xf numFmtId="43" fontId="8" fillId="2" borderId="3" xfId="1" applyNumberFormat="1" applyFont="1" applyFill="1" applyBorder="1" applyAlignment="1">
      <alignment vertical="center" wrapText="1"/>
    </xf>
    <xf numFmtId="43" fontId="8" fillId="2" borderId="24" xfId="1" applyNumberFormat="1" applyFont="1" applyFill="1" applyBorder="1" applyAlignment="1">
      <alignment vertical="center"/>
    </xf>
    <xf numFmtId="43" fontId="9" fillId="2" borderId="3" xfId="1" applyNumberFormat="1" applyFont="1" applyFill="1" applyBorder="1" applyAlignment="1">
      <alignment vertical="center" wrapText="1"/>
    </xf>
    <xf numFmtId="43" fontId="8" fillId="2" borderId="3" xfId="1" applyNumberFormat="1" applyFont="1" applyFill="1" applyBorder="1" applyAlignment="1">
      <alignment vertical="center"/>
    </xf>
    <xf numFmtId="43" fontId="15" fillId="2" borderId="3" xfId="1" applyNumberFormat="1" applyFont="1" applyFill="1" applyBorder="1" applyAlignment="1">
      <alignment vertical="center" wrapText="1"/>
    </xf>
    <xf numFmtId="0" fontId="4" fillId="0" borderId="3" xfId="0" applyFont="1" applyBorder="1"/>
    <xf numFmtId="43" fontId="15" fillId="3" borderId="3" xfId="1" applyNumberFormat="1" applyFont="1" applyFill="1" applyBorder="1" applyAlignment="1">
      <alignment vertical="center" wrapText="1"/>
    </xf>
    <xf numFmtId="0" fontId="15" fillId="2" borderId="3" xfId="1" applyNumberFormat="1" applyFont="1" applyFill="1" applyBorder="1" applyAlignment="1">
      <alignment vertical="center" wrapText="1"/>
    </xf>
    <xf numFmtId="43" fontId="8" fillId="0" borderId="21" xfId="1" applyNumberFormat="1" applyFont="1" applyFill="1" applyBorder="1" applyAlignment="1">
      <alignment vertical="center"/>
    </xf>
    <xf numFmtId="43" fontId="10" fillId="2" borderId="10" xfId="1" applyNumberFormat="1" applyFont="1" applyFill="1" applyBorder="1" applyAlignment="1">
      <alignment vertical="center" wrapText="1"/>
    </xf>
    <xf numFmtId="43" fontId="8" fillId="3" borderId="25" xfId="1" applyNumberFormat="1" applyFont="1" applyFill="1" applyBorder="1" applyAlignment="1">
      <alignment vertical="center"/>
    </xf>
    <xf numFmtId="43" fontId="8" fillId="3" borderId="3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43" fontId="10" fillId="3" borderId="5" xfId="1" applyNumberFormat="1" applyFont="1" applyFill="1" applyBorder="1" applyAlignment="1">
      <alignment vertical="center"/>
    </xf>
    <xf numFmtId="0" fontId="10" fillId="2" borderId="21" xfId="0" applyFon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wrapText="1"/>
    </xf>
    <xf numFmtId="0" fontId="16" fillId="2" borderId="9" xfId="0" applyFont="1" applyFill="1" applyBorder="1" applyAlignment="1">
      <alignment vertical="center"/>
    </xf>
    <xf numFmtId="0" fontId="16" fillId="2" borderId="9" xfId="0" applyFont="1" applyFill="1" applyBorder="1" applyAlignment="1">
      <alignment horizontal="center" vertical="center" wrapText="1"/>
    </xf>
    <xf numFmtId="14" fontId="16" fillId="2" borderId="9" xfId="0" applyNumberFormat="1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3" fontId="17" fillId="2" borderId="9" xfId="2" applyFont="1" applyFill="1" applyBorder="1" applyAlignment="1">
      <alignment horizontal="center" vertical="center"/>
    </xf>
    <xf numFmtId="43" fontId="16" fillId="2" borderId="9" xfId="2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 wrapText="1"/>
    </xf>
    <xf numFmtId="43" fontId="6" fillId="2" borderId="12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14" fontId="6" fillId="2" borderId="6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horizontal="center" vertical="center"/>
    </xf>
    <xf numFmtId="43" fontId="6" fillId="2" borderId="16" xfId="1" applyNumberFormat="1" applyFont="1" applyFill="1" applyBorder="1" applyAlignment="1">
      <alignment horizontal="center" vertical="center"/>
    </xf>
    <xf numFmtId="43" fontId="6" fillId="2" borderId="17" xfId="1" applyNumberFormat="1" applyFont="1" applyFill="1" applyBorder="1" applyAlignment="1">
      <alignment horizontal="center" vertical="center"/>
    </xf>
    <xf numFmtId="14" fontId="6" fillId="2" borderId="26" xfId="1" applyNumberFormat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43" fontId="6" fillId="2" borderId="26" xfId="1" applyNumberFormat="1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43" fontId="6" fillId="2" borderId="18" xfId="1" applyNumberFormat="1" applyFont="1" applyFill="1" applyBorder="1" applyAlignment="1">
      <alignment horizontal="center" vertical="center"/>
    </xf>
    <xf numFmtId="43" fontId="6" fillId="2" borderId="19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E9C5A1D7-8E3F-4C0B-9693-6BB10766A48A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63"/>
  <sheetViews>
    <sheetView tabSelected="1" topLeftCell="A121" zoomScaleNormal="100" workbookViewId="0">
      <selection activeCell="B146" sqref="B146"/>
    </sheetView>
  </sheetViews>
  <sheetFormatPr defaultColWidth="9" defaultRowHeight="15" x14ac:dyDescent="0.25"/>
  <cols>
    <col min="1" max="1" width="16.5703125" style="1" customWidth="1"/>
    <col min="2" max="2" width="37.7109375" style="1" customWidth="1"/>
    <col min="3" max="3" width="11.7109375" style="1" bestFit="1" customWidth="1"/>
    <col min="4" max="4" width="12" style="1" customWidth="1"/>
    <col min="5" max="5" width="12.28515625" style="1" bestFit="1" customWidth="1"/>
    <col min="6" max="6" width="10.7109375" style="1" bestFit="1" customWidth="1"/>
    <col min="7" max="7" width="15.42578125" style="1" bestFit="1" customWidth="1"/>
    <col min="8" max="8" width="12.85546875" style="2" customWidth="1"/>
    <col min="9" max="9" width="14.5703125" style="2" bestFit="1" customWidth="1"/>
    <col min="10" max="10" width="9.5703125" style="1" bestFit="1" customWidth="1"/>
    <col min="11" max="11" width="13.7109375" style="1" bestFit="1" customWidth="1"/>
    <col min="12" max="12" width="15" style="1" bestFit="1" customWidth="1"/>
    <col min="13" max="13" width="14.140625" style="1" customWidth="1"/>
    <col min="14" max="14" width="14.85546875" style="1" bestFit="1" customWidth="1"/>
    <col min="15" max="15" width="16" style="1" customWidth="1"/>
    <col min="16" max="16" width="14.85546875" style="1" bestFit="1" customWidth="1"/>
    <col min="17" max="17" width="8" style="1" customWidth="1"/>
    <col min="18" max="18" width="12.85546875" style="1" customWidth="1"/>
    <col min="19" max="19" width="15" style="1" customWidth="1"/>
    <col min="20" max="20" width="13.28515625" style="1" customWidth="1"/>
    <col min="21" max="21" width="13.7109375" style="1" customWidth="1"/>
    <col min="22" max="22" width="16.140625" style="1" bestFit="1" customWidth="1"/>
    <col min="23" max="23" width="94" style="1" bestFit="1" customWidth="1"/>
    <col min="24" max="24" width="16" style="1" bestFit="1" customWidth="1"/>
    <col min="25" max="25" width="9" style="1"/>
    <col min="26" max="27" width="12.28515625" style="1" bestFit="1" customWidth="1"/>
    <col min="28" max="16384" width="9" style="1"/>
  </cols>
  <sheetData>
    <row r="1" spans="1:55" ht="30" x14ac:dyDescent="0.25">
      <c r="A1" s="97" t="s">
        <v>111</v>
      </c>
      <c r="B1" t="s">
        <v>60</v>
      </c>
      <c r="C1"/>
    </row>
    <row r="2" spans="1:55" x14ac:dyDescent="0.25">
      <c r="A2" s="96" t="s">
        <v>112</v>
      </c>
      <c r="B2" t="s">
        <v>113</v>
      </c>
      <c r="C2"/>
    </row>
    <row r="3" spans="1:55" x14ac:dyDescent="0.25">
      <c r="A3" s="96" t="s">
        <v>114</v>
      </c>
      <c r="B3" t="s">
        <v>116</v>
      </c>
      <c r="C3"/>
    </row>
    <row r="4" spans="1:55" ht="15.75" thickBot="1" x14ac:dyDescent="0.3">
      <c r="A4" s="96" t="s">
        <v>115</v>
      </c>
      <c r="B4" t="s">
        <v>116</v>
      </c>
      <c r="C4"/>
    </row>
    <row r="5" spans="1:55" ht="60.75" thickBot="1" x14ac:dyDescent="0.3">
      <c r="A5" s="98" t="s">
        <v>119</v>
      </c>
      <c r="B5" s="99" t="s">
        <v>117</v>
      </c>
      <c r="C5" s="100" t="s">
        <v>118</v>
      </c>
      <c r="D5" s="101" t="s">
        <v>120</v>
      </c>
      <c r="E5" s="99" t="s">
        <v>121</v>
      </c>
      <c r="F5" s="99" t="s">
        <v>122</v>
      </c>
      <c r="G5" s="101" t="s">
        <v>123</v>
      </c>
      <c r="H5" s="102" t="s">
        <v>124</v>
      </c>
      <c r="I5" s="103" t="s">
        <v>0</v>
      </c>
      <c r="J5" s="99" t="s">
        <v>125</v>
      </c>
      <c r="K5" s="99" t="s">
        <v>126</v>
      </c>
      <c r="L5" s="99" t="s">
        <v>127</v>
      </c>
      <c r="M5" s="99" t="s">
        <v>128</v>
      </c>
      <c r="N5" s="99" t="s">
        <v>129</v>
      </c>
      <c r="O5" s="104" t="s">
        <v>130</v>
      </c>
      <c r="P5" s="99" t="s">
        <v>131</v>
      </c>
      <c r="Q5" s="11"/>
      <c r="R5" s="17" t="s">
        <v>132</v>
      </c>
      <c r="S5" s="99" t="s">
        <v>136</v>
      </c>
      <c r="T5" s="99" t="s">
        <v>135</v>
      </c>
      <c r="U5" s="17" t="s">
        <v>134</v>
      </c>
      <c r="V5" s="99" t="s">
        <v>133</v>
      </c>
      <c r="W5" s="99" t="s">
        <v>1</v>
      </c>
      <c r="X5" s="7"/>
    </row>
    <row r="6" spans="1:55" x14ac:dyDescent="0.25">
      <c r="A6" s="8"/>
      <c r="B6" s="8"/>
      <c r="C6" s="8"/>
      <c r="D6" s="8"/>
      <c r="E6" s="8"/>
      <c r="F6" s="8"/>
      <c r="G6" s="8"/>
      <c r="H6" s="8"/>
      <c r="I6" s="8"/>
      <c r="J6" s="9">
        <v>0.01</v>
      </c>
      <c r="K6" s="9">
        <v>0.05</v>
      </c>
      <c r="L6" s="9">
        <v>0.1</v>
      </c>
      <c r="M6" s="9">
        <v>0.1</v>
      </c>
      <c r="N6" s="8"/>
      <c r="O6" s="8"/>
      <c r="P6" s="8"/>
      <c r="Q6" s="12"/>
      <c r="R6" s="12"/>
      <c r="S6" s="12"/>
      <c r="T6" s="12"/>
      <c r="U6" s="12"/>
      <c r="V6" s="8"/>
      <c r="W6" s="8"/>
      <c r="X6" s="8"/>
    </row>
    <row r="7" spans="1:55" s="4" customFormat="1" x14ac:dyDescent="0.25">
      <c r="A7" s="5"/>
      <c r="B7" s="5"/>
      <c r="C7" s="5"/>
      <c r="D7" s="5"/>
      <c r="E7" s="5"/>
      <c r="F7" s="5"/>
      <c r="G7" s="5"/>
      <c r="H7" s="5"/>
      <c r="I7" s="5"/>
      <c r="J7" s="10"/>
      <c r="K7" s="10"/>
      <c r="L7" s="10"/>
      <c r="M7" s="10"/>
      <c r="N7" s="5"/>
      <c r="O7" s="5"/>
      <c r="P7" s="5"/>
      <c r="Q7" s="13">
        <f>A8</f>
        <v>52963</v>
      </c>
      <c r="R7" s="18"/>
      <c r="S7" s="18"/>
      <c r="T7" s="18"/>
      <c r="U7" s="18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55" x14ac:dyDescent="0.25">
      <c r="A8" s="92">
        <v>52963</v>
      </c>
      <c r="B8" s="20" t="s">
        <v>3</v>
      </c>
      <c r="C8" s="21">
        <v>44867</v>
      </c>
      <c r="D8" s="19">
        <v>1</v>
      </c>
      <c r="E8" s="22">
        <v>521983</v>
      </c>
      <c r="F8" s="22">
        <v>0</v>
      </c>
      <c r="G8" s="22">
        <f>E8-F8</f>
        <v>521983</v>
      </c>
      <c r="H8" s="22">
        <f>ROUND(G8*18%,)</f>
        <v>93957</v>
      </c>
      <c r="I8" s="22">
        <f>ROUND(G8+H8,)</f>
        <v>615940</v>
      </c>
      <c r="J8" s="22">
        <f>G8*$J$6</f>
        <v>5219.83</v>
      </c>
      <c r="K8" s="22">
        <f>G8*5%</f>
        <v>26099.15</v>
      </c>
      <c r="L8" s="22">
        <f>G8*5%</f>
        <v>26099.15</v>
      </c>
      <c r="M8" s="22">
        <f>G8*10%</f>
        <v>52198.3</v>
      </c>
      <c r="N8" s="23">
        <f>H8</f>
        <v>93957</v>
      </c>
      <c r="O8" s="22">
        <v>36104</v>
      </c>
      <c r="P8" s="22">
        <f>ROUNDUP(I8-SUM(J8:O8), 0)</f>
        <v>376263</v>
      </c>
      <c r="Q8" s="24"/>
      <c r="R8" s="20">
        <v>79059</v>
      </c>
      <c r="S8" s="22">
        <v>376263</v>
      </c>
      <c r="T8" s="20"/>
      <c r="U8" s="71">
        <f>R8-SUM(S8:S19)</f>
        <v>-1056533</v>
      </c>
      <c r="V8" s="22">
        <v>376263</v>
      </c>
      <c r="W8" s="25" t="s">
        <v>4</v>
      </c>
      <c r="X8" s="22">
        <f>SUM(P8:P19,0)-SUM(V8:V19,0)</f>
        <v>-188845</v>
      </c>
    </row>
    <row r="9" spans="1:55" s="3" customFormat="1" x14ac:dyDescent="0.25">
      <c r="A9" s="92">
        <v>52963</v>
      </c>
      <c r="B9" s="22" t="s">
        <v>12</v>
      </c>
      <c r="C9" s="26">
        <v>44873</v>
      </c>
      <c r="D9" s="19">
        <v>1</v>
      </c>
      <c r="E9" s="22">
        <v>93957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72">
        <f>E9</f>
        <v>93957</v>
      </c>
      <c r="Q9" s="24"/>
      <c r="R9" s="20"/>
      <c r="S9" s="22">
        <v>93957</v>
      </c>
      <c r="T9" s="20"/>
      <c r="U9" s="20"/>
      <c r="V9" s="22">
        <v>93957</v>
      </c>
      <c r="W9" s="25" t="s">
        <v>5</v>
      </c>
      <c r="X9" s="22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6"/>
    </row>
    <row r="10" spans="1:55" s="3" customFormat="1" x14ac:dyDescent="0.25">
      <c r="A10" s="92">
        <v>52963</v>
      </c>
      <c r="B10" s="20" t="s">
        <v>3</v>
      </c>
      <c r="C10" s="21">
        <v>44893</v>
      </c>
      <c r="D10" s="19">
        <v>2</v>
      </c>
      <c r="E10" s="22">
        <v>436346</v>
      </c>
      <c r="F10" s="22">
        <v>36028</v>
      </c>
      <c r="G10" s="22">
        <f>E10-F10</f>
        <v>400318</v>
      </c>
      <c r="H10" s="22">
        <f>ROUND(G10*18%,)</f>
        <v>72057</v>
      </c>
      <c r="I10" s="22">
        <f>ROUND(G10+H10,)</f>
        <v>472375</v>
      </c>
      <c r="J10" s="22">
        <f>G10*$J$6</f>
        <v>4003.1800000000003</v>
      </c>
      <c r="K10" s="22">
        <f>G10*5%</f>
        <v>20015.900000000001</v>
      </c>
      <c r="L10" s="22">
        <f>G10*10%</f>
        <v>40031.800000000003</v>
      </c>
      <c r="M10" s="22">
        <f>G10*10%</f>
        <v>40031.800000000003</v>
      </c>
      <c r="N10" s="72">
        <f>H10</f>
        <v>72057</v>
      </c>
      <c r="O10" s="22">
        <v>107775</v>
      </c>
      <c r="P10" s="22">
        <f>ROUNDDOWN(I10-SUM(J10:O10), 0)</f>
        <v>188460</v>
      </c>
      <c r="Q10" s="27"/>
      <c r="R10" s="27"/>
      <c r="S10" s="22">
        <v>188460</v>
      </c>
      <c r="T10" s="27"/>
      <c r="U10" s="27"/>
      <c r="V10" s="22">
        <v>188460</v>
      </c>
      <c r="W10" s="25" t="s">
        <v>6</v>
      </c>
      <c r="X10" s="22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6"/>
    </row>
    <row r="11" spans="1:55" x14ac:dyDescent="0.25">
      <c r="A11" s="92">
        <v>52963</v>
      </c>
      <c r="B11" s="20" t="s">
        <v>3</v>
      </c>
      <c r="C11" s="26">
        <v>44929</v>
      </c>
      <c r="D11" s="19">
        <v>3</v>
      </c>
      <c r="E11" s="22">
        <v>218625</v>
      </c>
      <c r="F11" s="22">
        <v>0</v>
      </c>
      <c r="G11" s="22">
        <f>E11-F11</f>
        <v>218625</v>
      </c>
      <c r="H11" s="22">
        <f>ROUND(G11*18%,)</f>
        <v>39353</v>
      </c>
      <c r="I11" s="22">
        <f>ROUND(G11+H11,)</f>
        <v>257978</v>
      </c>
      <c r="J11" s="22">
        <f>G11*$J$6</f>
        <v>2186.25</v>
      </c>
      <c r="K11" s="22">
        <f>G11*5%</f>
        <v>10931.25</v>
      </c>
      <c r="L11" s="22">
        <f>G11*10%</f>
        <v>21862.5</v>
      </c>
      <c r="M11" s="22">
        <f>G11*10%</f>
        <v>21862.5</v>
      </c>
      <c r="N11" s="72">
        <f>H11</f>
        <v>39353</v>
      </c>
      <c r="O11" s="22">
        <v>56927</v>
      </c>
      <c r="P11" s="22">
        <f>ROUNDDOWN(I11-SUM(J11:O11), 0)</f>
        <v>104855</v>
      </c>
      <c r="Q11" s="27"/>
      <c r="R11" s="27"/>
      <c r="S11" s="22">
        <v>104855</v>
      </c>
      <c r="T11" s="27"/>
      <c r="U11" s="27"/>
      <c r="V11" s="22">
        <v>104855</v>
      </c>
      <c r="W11" s="25" t="s">
        <v>7</v>
      </c>
      <c r="X11" s="22"/>
    </row>
    <row r="12" spans="1:55" x14ac:dyDescent="0.25">
      <c r="A12" s="92">
        <v>52963</v>
      </c>
      <c r="B12" s="22" t="s">
        <v>12</v>
      </c>
      <c r="C12" s="26">
        <v>44939</v>
      </c>
      <c r="D12" s="19">
        <v>2</v>
      </c>
      <c r="E12" s="22">
        <v>72057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72">
        <f>E12</f>
        <v>72057</v>
      </c>
      <c r="Q12" s="27"/>
      <c r="R12" s="27"/>
      <c r="S12" s="22">
        <v>72057</v>
      </c>
      <c r="T12" s="27"/>
      <c r="U12" s="27"/>
      <c r="V12" s="22">
        <v>72057</v>
      </c>
      <c r="W12" s="25" t="s">
        <v>8</v>
      </c>
      <c r="X12" s="22"/>
    </row>
    <row r="13" spans="1:55" x14ac:dyDescent="0.25">
      <c r="A13" s="92">
        <v>52963</v>
      </c>
      <c r="B13" s="22" t="s">
        <v>12</v>
      </c>
      <c r="C13" s="26">
        <v>45045</v>
      </c>
      <c r="D13" s="19">
        <v>3</v>
      </c>
      <c r="E13" s="22">
        <v>39353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72">
        <f>E13</f>
        <v>39353</v>
      </c>
      <c r="Q13" s="27"/>
      <c r="R13" s="27"/>
      <c r="S13" s="22">
        <v>100000</v>
      </c>
      <c r="T13" s="22">
        <f>S13*1%</f>
        <v>1000</v>
      </c>
      <c r="U13" s="27"/>
      <c r="V13" s="22">
        <v>99000</v>
      </c>
      <c r="W13" s="25" t="s">
        <v>9</v>
      </c>
      <c r="X13" s="22"/>
    </row>
    <row r="14" spans="1:55" x14ac:dyDescent="0.25">
      <c r="A14" s="92">
        <v>52963</v>
      </c>
      <c r="B14" s="20" t="s">
        <v>3</v>
      </c>
      <c r="C14" s="28">
        <v>45114</v>
      </c>
      <c r="D14" s="19">
        <v>4</v>
      </c>
      <c r="E14" s="22">
        <v>52600</v>
      </c>
      <c r="F14" s="22">
        <v>0</v>
      </c>
      <c r="G14" s="22">
        <f t="shared" ref="G14:G19" si="0">E14-F14</f>
        <v>52600</v>
      </c>
      <c r="H14" s="22">
        <f>ROUND(G14*18%,)</f>
        <v>9468</v>
      </c>
      <c r="I14" s="22">
        <f t="shared" ref="I14:I19" si="1">ROUND(G14+H14,)</f>
        <v>62068</v>
      </c>
      <c r="J14" s="22">
        <f>G14*$J$6</f>
        <v>526</v>
      </c>
      <c r="K14" s="22">
        <f>G14*5%</f>
        <v>2630</v>
      </c>
      <c r="L14" s="22">
        <v>0</v>
      </c>
      <c r="M14" s="22">
        <v>0</v>
      </c>
      <c r="N14" s="72">
        <f t="shared" ref="N14:N19" si="2">H14</f>
        <v>9468</v>
      </c>
      <c r="O14" s="22">
        <v>0</v>
      </c>
      <c r="P14" s="22">
        <f t="shared" ref="P14:P19" si="3">ROUNDDOWN(I14-SUM(J14:O14), 0)</f>
        <v>49444</v>
      </c>
      <c r="Q14" s="27"/>
      <c r="R14" s="27"/>
      <c r="S14" s="22">
        <v>50000</v>
      </c>
      <c r="T14" s="22">
        <f>S14*1%</f>
        <v>500</v>
      </c>
      <c r="U14" s="27"/>
      <c r="V14" s="22">
        <v>49500</v>
      </c>
      <c r="W14" s="25" t="s">
        <v>10</v>
      </c>
      <c r="X14" s="22"/>
    </row>
    <row r="15" spans="1:55" x14ac:dyDescent="0.25">
      <c r="A15" s="92">
        <v>52963</v>
      </c>
      <c r="B15" s="22" t="s">
        <v>12</v>
      </c>
      <c r="C15" s="21">
        <v>45180</v>
      </c>
      <c r="D15" s="19">
        <v>4</v>
      </c>
      <c r="E15" s="22">
        <f>N14</f>
        <v>9468</v>
      </c>
      <c r="F15" s="22"/>
      <c r="G15" s="22">
        <f t="shared" si="0"/>
        <v>9468</v>
      </c>
      <c r="H15" s="22">
        <v>0</v>
      </c>
      <c r="I15" s="22">
        <f t="shared" si="1"/>
        <v>9468</v>
      </c>
      <c r="J15" s="22">
        <v>0</v>
      </c>
      <c r="K15" s="22">
        <v>0</v>
      </c>
      <c r="L15" s="22">
        <v>0</v>
      </c>
      <c r="M15" s="22">
        <v>0</v>
      </c>
      <c r="N15" s="22">
        <f t="shared" si="2"/>
        <v>0</v>
      </c>
      <c r="O15" s="22">
        <v>0</v>
      </c>
      <c r="P15" s="72">
        <f t="shared" si="3"/>
        <v>9468</v>
      </c>
      <c r="Q15" s="27"/>
      <c r="R15" s="27"/>
      <c r="S15" s="22">
        <v>150000</v>
      </c>
      <c r="T15" s="22">
        <f>S15*1%</f>
        <v>1500</v>
      </c>
      <c r="U15" s="22"/>
      <c r="V15" s="22">
        <v>148500</v>
      </c>
      <c r="W15" s="25" t="s">
        <v>41</v>
      </c>
      <c r="X15" s="22"/>
    </row>
    <row r="16" spans="1:55" x14ac:dyDescent="0.25">
      <c r="A16" s="92">
        <v>52963</v>
      </c>
      <c r="B16" s="20" t="s">
        <v>3</v>
      </c>
      <c r="C16" s="28">
        <v>45114</v>
      </c>
      <c r="D16" s="19">
        <v>14</v>
      </c>
      <c r="E16" s="22">
        <v>11675</v>
      </c>
      <c r="F16" s="22">
        <v>0</v>
      </c>
      <c r="G16" s="22">
        <f t="shared" si="0"/>
        <v>11675</v>
      </c>
      <c r="H16" s="22">
        <f>ROUND(G16*18%,)</f>
        <v>2102</v>
      </c>
      <c r="I16" s="22">
        <f t="shared" si="1"/>
        <v>13777</v>
      </c>
      <c r="J16" s="22">
        <f>G16*$J$6</f>
        <v>116.75</v>
      </c>
      <c r="K16" s="22">
        <f>G16*5%</f>
        <v>583.75</v>
      </c>
      <c r="L16" s="22">
        <f>G16*L6</f>
        <v>1167.5</v>
      </c>
      <c r="M16" s="22">
        <f>G16*M6</f>
        <v>1167.5</v>
      </c>
      <c r="N16" s="72">
        <f t="shared" si="2"/>
        <v>2102</v>
      </c>
      <c r="O16" s="22">
        <v>2875</v>
      </c>
      <c r="P16" s="22">
        <f t="shared" si="3"/>
        <v>5764</v>
      </c>
      <c r="Q16" s="27"/>
      <c r="R16" s="27"/>
      <c r="S16" s="27"/>
      <c r="T16" s="27"/>
      <c r="U16" s="27"/>
      <c r="V16" s="22"/>
      <c r="W16" s="25"/>
      <c r="X16" s="22"/>
    </row>
    <row r="17" spans="1:54" x14ac:dyDescent="0.25">
      <c r="A17" s="92">
        <v>52963</v>
      </c>
      <c r="B17" s="22" t="s">
        <v>12</v>
      </c>
      <c r="C17" s="21"/>
      <c r="D17" s="19">
        <v>14</v>
      </c>
      <c r="E17" s="22">
        <f>N16</f>
        <v>2102</v>
      </c>
      <c r="F17" s="22"/>
      <c r="G17" s="22">
        <f t="shared" si="0"/>
        <v>2102</v>
      </c>
      <c r="H17" s="22">
        <v>0</v>
      </c>
      <c r="I17" s="22">
        <f t="shared" si="1"/>
        <v>2102</v>
      </c>
      <c r="J17" s="22">
        <v>0</v>
      </c>
      <c r="K17" s="22">
        <v>0</v>
      </c>
      <c r="L17" s="22">
        <v>0</v>
      </c>
      <c r="M17" s="22">
        <v>0</v>
      </c>
      <c r="N17" s="22">
        <f t="shared" si="2"/>
        <v>0</v>
      </c>
      <c r="O17" s="22">
        <v>0</v>
      </c>
      <c r="P17" s="72">
        <f t="shared" si="3"/>
        <v>2102</v>
      </c>
      <c r="Q17" s="27"/>
      <c r="R17" s="27"/>
      <c r="S17" s="27"/>
      <c r="T17" s="27"/>
      <c r="U17" s="27"/>
      <c r="V17" s="22"/>
      <c r="W17" s="25"/>
      <c r="X17" s="22"/>
    </row>
    <row r="18" spans="1:54" x14ac:dyDescent="0.25">
      <c r="A18" s="92">
        <v>52963</v>
      </c>
      <c r="B18" s="20" t="s">
        <v>3</v>
      </c>
      <c r="C18" s="28">
        <v>45687</v>
      </c>
      <c r="D18" s="19">
        <v>12</v>
      </c>
      <c r="E18" s="22">
        <v>2200</v>
      </c>
      <c r="F18" s="22">
        <v>0</v>
      </c>
      <c r="G18" s="22">
        <f t="shared" si="0"/>
        <v>2200</v>
      </c>
      <c r="H18" s="22">
        <f>ROUND(G18*18%,)</f>
        <v>396</v>
      </c>
      <c r="I18" s="22">
        <f t="shared" si="1"/>
        <v>2596</v>
      </c>
      <c r="J18" s="22">
        <f>G18*$J$6</f>
        <v>22</v>
      </c>
      <c r="K18" s="22">
        <f>G18*5%</f>
        <v>110</v>
      </c>
      <c r="L18" s="22">
        <f>G18*L6</f>
        <v>220</v>
      </c>
      <c r="M18" s="22">
        <f>G18*M6</f>
        <v>220</v>
      </c>
      <c r="N18" s="29">
        <f t="shared" si="2"/>
        <v>396</v>
      </c>
      <c r="O18" s="22">
        <v>0</v>
      </c>
      <c r="P18" s="22">
        <f t="shared" si="3"/>
        <v>1628</v>
      </c>
      <c r="Q18" s="27"/>
      <c r="R18" s="27"/>
      <c r="S18" s="27"/>
      <c r="T18" s="27"/>
      <c r="U18" s="27"/>
      <c r="V18" s="22"/>
      <c r="W18" s="25"/>
      <c r="X18" s="22"/>
    </row>
    <row r="19" spans="1:54" x14ac:dyDescent="0.25">
      <c r="A19" s="92">
        <v>52963</v>
      </c>
      <c r="B19" s="22" t="s">
        <v>12</v>
      </c>
      <c r="C19" s="21"/>
      <c r="D19" s="19">
        <v>12</v>
      </c>
      <c r="E19" s="22">
        <f>N18</f>
        <v>396</v>
      </c>
      <c r="F19" s="22"/>
      <c r="G19" s="22">
        <f t="shared" si="0"/>
        <v>396</v>
      </c>
      <c r="H19" s="22">
        <v>0</v>
      </c>
      <c r="I19" s="22">
        <f t="shared" si="1"/>
        <v>396</v>
      </c>
      <c r="J19" s="22">
        <v>0</v>
      </c>
      <c r="K19" s="22">
        <v>0</v>
      </c>
      <c r="L19" s="22">
        <v>0</v>
      </c>
      <c r="M19" s="22">
        <v>0</v>
      </c>
      <c r="N19" s="22">
        <f t="shared" si="2"/>
        <v>0</v>
      </c>
      <c r="O19" s="22">
        <v>0</v>
      </c>
      <c r="P19" s="72">
        <f t="shared" si="3"/>
        <v>396</v>
      </c>
      <c r="Q19" s="27"/>
      <c r="R19" s="27"/>
      <c r="S19" s="27"/>
      <c r="T19" s="27"/>
      <c r="U19" s="27"/>
      <c r="V19" s="22"/>
      <c r="W19" s="25"/>
      <c r="X19" s="22"/>
    </row>
    <row r="20" spans="1:54" s="4" customFormat="1" x14ac:dyDescent="0.25">
      <c r="A20" s="93"/>
      <c r="B20" s="31"/>
      <c r="C20" s="31"/>
      <c r="D20" s="30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2">
        <f>A21</f>
        <v>53871</v>
      </c>
      <c r="R20" s="33"/>
      <c r="S20" s="33"/>
      <c r="T20" s="33"/>
      <c r="U20" s="33"/>
      <c r="V20" s="31"/>
      <c r="W20" s="34"/>
      <c r="X20" s="3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</row>
    <row r="21" spans="1:54" x14ac:dyDescent="0.25">
      <c r="A21" s="92">
        <v>53871</v>
      </c>
      <c r="B21" s="20" t="s">
        <v>21</v>
      </c>
      <c r="C21" s="21">
        <v>44931</v>
      </c>
      <c r="D21" s="19">
        <v>4</v>
      </c>
      <c r="E21" s="22">
        <v>671619</v>
      </c>
      <c r="F21" s="22">
        <v>90070</v>
      </c>
      <c r="G21" s="22">
        <f>E21-F21</f>
        <v>581549</v>
      </c>
      <c r="H21" s="22">
        <f>ROUND(G21*18%,)</f>
        <v>104679</v>
      </c>
      <c r="I21" s="22">
        <f>ROUND(G21+H21,)</f>
        <v>686228</v>
      </c>
      <c r="J21" s="22">
        <f>G21*$J$6</f>
        <v>5815.49</v>
      </c>
      <c r="K21" s="22">
        <f>G21*5%</f>
        <v>29077.45</v>
      </c>
      <c r="L21" s="22">
        <f>G21*10%</f>
        <v>58154.9</v>
      </c>
      <c r="M21" s="22">
        <f>G21*10%</f>
        <v>58154.9</v>
      </c>
      <c r="N21" s="72">
        <f>H21</f>
        <v>104679</v>
      </c>
      <c r="O21" s="22">
        <v>53117</v>
      </c>
      <c r="P21" s="22">
        <f>ROUNDUP(I21-SUM(J21:O21), 0)</f>
        <v>377230</v>
      </c>
      <c r="Q21" s="27"/>
      <c r="R21" s="20">
        <v>79059</v>
      </c>
      <c r="S21" s="22">
        <v>377230</v>
      </c>
      <c r="T21" s="27"/>
      <c r="U21" s="27"/>
      <c r="V21" s="22">
        <v>377230</v>
      </c>
      <c r="W21" s="25" t="s">
        <v>13</v>
      </c>
      <c r="X21" s="22">
        <f>SUM(P21:P33,0)-SUM(V21:V33,0)</f>
        <v>-106584</v>
      </c>
    </row>
    <row r="22" spans="1:54" x14ac:dyDescent="0.25">
      <c r="A22" s="92">
        <v>53871</v>
      </c>
      <c r="B22" s="22" t="s">
        <v>12</v>
      </c>
      <c r="C22" s="21">
        <v>45045</v>
      </c>
      <c r="D22" s="19">
        <v>4</v>
      </c>
      <c r="E22" s="22">
        <v>104679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72">
        <f>E22</f>
        <v>104679</v>
      </c>
      <c r="Q22" s="27"/>
      <c r="R22" s="27"/>
      <c r="S22" s="22">
        <v>300000</v>
      </c>
      <c r="T22" s="22">
        <f>S22*1%</f>
        <v>3000</v>
      </c>
      <c r="U22" s="27"/>
      <c r="V22" s="22">
        <v>297000</v>
      </c>
      <c r="W22" s="22" t="s">
        <v>14</v>
      </c>
      <c r="X22" s="22"/>
    </row>
    <row r="23" spans="1:54" x14ac:dyDescent="0.2">
      <c r="A23" s="92">
        <v>53871</v>
      </c>
      <c r="B23" s="20" t="s">
        <v>21</v>
      </c>
      <c r="C23" s="21">
        <v>44984</v>
      </c>
      <c r="D23" s="19">
        <v>5</v>
      </c>
      <c r="E23" s="22">
        <v>761724</v>
      </c>
      <c r="F23" s="22">
        <v>72056</v>
      </c>
      <c r="G23" s="22">
        <f>E23-F23</f>
        <v>689668</v>
      </c>
      <c r="H23" s="22">
        <f>ROUND(G23*18%,)</f>
        <v>124140</v>
      </c>
      <c r="I23" s="22">
        <f>ROUND(G23+H23,)</f>
        <v>813808</v>
      </c>
      <c r="J23" s="22">
        <f>G23*$J$6</f>
        <v>6896.68</v>
      </c>
      <c r="K23" s="22">
        <f>G23*5%</f>
        <v>34483.4</v>
      </c>
      <c r="L23" s="22">
        <f>G23*10%</f>
        <v>68966.8</v>
      </c>
      <c r="M23" s="22">
        <f>G23*10%</f>
        <v>68966.8</v>
      </c>
      <c r="N23" s="72">
        <f>H23</f>
        <v>124140</v>
      </c>
      <c r="O23" s="22">
        <v>0</v>
      </c>
      <c r="P23" s="22">
        <f>ROUNDUP(I23-SUM(J23:O23), 0)</f>
        <v>510355</v>
      </c>
      <c r="Q23" s="27"/>
      <c r="R23" s="27"/>
      <c r="S23" s="22">
        <v>150000</v>
      </c>
      <c r="T23" s="22">
        <f>S23*1%</f>
        <v>1500</v>
      </c>
      <c r="U23" s="22"/>
      <c r="V23" s="22">
        <v>148500</v>
      </c>
      <c r="W23" s="35" t="s">
        <v>15</v>
      </c>
      <c r="X23" s="22"/>
    </row>
    <row r="24" spans="1:54" x14ac:dyDescent="0.25">
      <c r="A24" s="92">
        <v>53871</v>
      </c>
      <c r="B24" s="22" t="s">
        <v>12</v>
      </c>
      <c r="C24" s="21">
        <v>45045</v>
      </c>
      <c r="D24" s="19">
        <v>5</v>
      </c>
      <c r="E24" s="22">
        <v>124140</v>
      </c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72">
        <f>E24</f>
        <v>124140</v>
      </c>
      <c r="Q24" s="27"/>
      <c r="R24" s="27"/>
      <c r="S24" s="22">
        <v>50000</v>
      </c>
      <c r="T24" s="22">
        <f>S24*1%</f>
        <v>500</v>
      </c>
      <c r="U24" s="27"/>
      <c r="V24" s="22">
        <v>49500</v>
      </c>
      <c r="W24" s="22" t="s">
        <v>16</v>
      </c>
      <c r="X24" s="22"/>
    </row>
    <row r="25" spans="1:54" x14ac:dyDescent="0.25">
      <c r="A25" s="92">
        <v>53871</v>
      </c>
      <c r="B25" s="20" t="s">
        <v>21</v>
      </c>
      <c r="C25" s="21">
        <v>45023</v>
      </c>
      <c r="D25" s="19">
        <v>1</v>
      </c>
      <c r="E25" s="22">
        <v>540146</v>
      </c>
      <c r="F25" s="22">
        <v>0</v>
      </c>
      <c r="G25" s="22">
        <f>E25-F25</f>
        <v>540146</v>
      </c>
      <c r="H25" s="22">
        <f>ROUND(G25*18%,)</f>
        <v>97226</v>
      </c>
      <c r="I25" s="22">
        <f>ROUND(G25+H25,)</f>
        <v>637372</v>
      </c>
      <c r="J25" s="22">
        <f>G25*$J$6</f>
        <v>5401.46</v>
      </c>
      <c r="K25" s="22">
        <f>G25*5%</f>
        <v>27007.300000000003</v>
      </c>
      <c r="L25" s="22">
        <f>G25*10%</f>
        <v>54014.600000000006</v>
      </c>
      <c r="M25" s="22">
        <f>G25*10%</f>
        <v>54014.600000000006</v>
      </c>
      <c r="N25" s="72">
        <f>H25</f>
        <v>97226</v>
      </c>
      <c r="O25" s="22">
        <v>78327</v>
      </c>
      <c r="P25" s="22">
        <f>ROUND(I25-SUM(J25:O25), 0)</f>
        <v>321381</v>
      </c>
      <c r="Q25" s="27"/>
      <c r="R25" s="27"/>
      <c r="S25" s="22">
        <v>300000</v>
      </c>
      <c r="T25" s="22">
        <f>S25*1%</f>
        <v>3000</v>
      </c>
      <c r="U25" s="22"/>
      <c r="V25" s="22">
        <v>297000</v>
      </c>
      <c r="W25" s="22" t="s">
        <v>17</v>
      </c>
      <c r="X25" s="22"/>
    </row>
    <row r="26" spans="1:54" x14ac:dyDescent="0.25">
      <c r="A26" s="92">
        <v>53871</v>
      </c>
      <c r="B26" s="22" t="s">
        <v>12</v>
      </c>
      <c r="C26" s="21">
        <v>45059</v>
      </c>
      <c r="D26" s="19">
        <v>1</v>
      </c>
      <c r="E26" s="22">
        <v>97226</v>
      </c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72">
        <f>E26</f>
        <v>97226</v>
      </c>
      <c r="Q26" s="27"/>
      <c r="R26" s="27"/>
      <c r="S26" s="22">
        <v>228819</v>
      </c>
      <c r="T26" s="27"/>
      <c r="U26" s="27"/>
      <c r="V26" s="22">
        <v>228819</v>
      </c>
      <c r="W26" s="22" t="s">
        <v>18</v>
      </c>
      <c r="X26" s="22"/>
    </row>
    <row r="27" spans="1:54" x14ac:dyDescent="0.25">
      <c r="A27" s="92">
        <v>53871</v>
      </c>
      <c r="B27" s="20" t="s">
        <v>21</v>
      </c>
      <c r="C27" s="21">
        <v>45139</v>
      </c>
      <c r="D27" s="19">
        <v>7</v>
      </c>
      <c r="E27" s="22">
        <v>11299</v>
      </c>
      <c r="F27" s="22"/>
      <c r="G27" s="22">
        <f>E27-F27</f>
        <v>11299</v>
      </c>
      <c r="H27" s="22">
        <f>ROUND(G27*18%,)</f>
        <v>2034</v>
      </c>
      <c r="I27" s="22">
        <f>ROUND(G27+H27,)</f>
        <v>13333</v>
      </c>
      <c r="J27" s="22">
        <f>G27*$J$6</f>
        <v>112.99000000000001</v>
      </c>
      <c r="K27" s="22">
        <f>G27*5%</f>
        <v>564.95000000000005</v>
      </c>
      <c r="L27" s="22">
        <f>G27*10%</f>
        <v>1129.9000000000001</v>
      </c>
      <c r="M27" s="22">
        <f>G27*10%</f>
        <v>1129.9000000000001</v>
      </c>
      <c r="N27" s="72">
        <f>H27</f>
        <v>2034</v>
      </c>
      <c r="O27" s="22">
        <v>0</v>
      </c>
      <c r="P27" s="22">
        <f>ROUND(I27-SUM(J27:O27), 0)</f>
        <v>8361</v>
      </c>
      <c r="Q27" s="27"/>
      <c r="R27" s="27"/>
      <c r="S27" s="22">
        <v>39736</v>
      </c>
      <c r="T27" s="27"/>
      <c r="U27" s="27"/>
      <c r="V27" s="22">
        <v>39736</v>
      </c>
      <c r="W27" s="22" t="s">
        <v>19</v>
      </c>
      <c r="X27" s="22"/>
    </row>
    <row r="28" spans="1:54" x14ac:dyDescent="0.25">
      <c r="A28" s="92">
        <v>53871</v>
      </c>
      <c r="B28" s="20" t="s">
        <v>21</v>
      </c>
      <c r="C28" s="21">
        <v>45139</v>
      </c>
      <c r="D28" s="19">
        <v>6</v>
      </c>
      <c r="E28" s="22">
        <v>52650</v>
      </c>
      <c r="F28" s="22">
        <v>13561</v>
      </c>
      <c r="G28" s="22">
        <f>E28-F28</f>
        <v>39089</v>
      </c>
      <c r="H28" s="22">
        <f>ROUND(G28*18%,)</f>
        <v>7036</v>
      </c>
      <c r="I28" s="22">
        <f>ROUND(G28+H28,)</f>
        <v>46125</v>
      </c>
      <c r="J28" s="22">
        <f>G28*$J$6</f>
        <v>390.89</v>
      </c>
      <c r="K28" s="22">
        <f>G28*5%</f>
        <v>1954.45</v>
      </c>
      <c r="L28" s="22">
        <v>0</v>
      </c>
      <c r="M28" s="22">
        <v>0</v>
      </c>
      <c r="N28" s="72">
        <f>H28</f>
        <v>7036</v>
      </c>
      <c r="O28" s="22">
        <v>0</v>
      </c>
      <c r="P28" s="22">
        <f>ROUND(I28-SUM(J28:O28), 0)</f>
        <v>36744</v>
      </c>
      <c r="Q28" s="27"/>
      <c r="R28" s="27"/>
      <c r="S28" s="22">
        <v>97226</v>
      </c>
      <c r="T28" s="27"/>
      <c r="U28" s="27"/>
      <c r="V28" s="22">
        <v>97226</v>
      </c>
      <c r="W28" s="22" t="s">
        <v>20</v>
      </c>
      <c r="X28" s="22"/>
    </row>
    <row r="29" spans="1:54" x14ac:dyDescent="0.25">
      <c r="A29" s="92">
        <v>53871</v>
      </c>
      <c r="B29" s="22" t="s">
        <v>12</v>
      </c>
      <c r="C29" s="28">
        <v>45180</v>
      </c>
      <c r="D29" s="19">
        <v>6</v>
      </c>
      <c r="E29" s="22">
        <v>7036</v>
      </c>
      <c r="F29" s="22">
        <v>0</v>
      </c>
      <c r="G29" s="22">
        <f>E29-F29</f>
        <v>7036</v>
      </c>
      <c r="H29" s="22">
        <v>0</v>
      </c>
      <c r="I29" s="22">
        <f>ROUND(G29+H29,)</f>
        <v>7036</v>
      </c>
      <c r="J29" s="22">
        <v>0</v>
      </c>
      <c r="K29" s="22">
        <v>0</v>
      </c>
      <c r="L29" s="22">
        <v>0</v>
      </c>
      <c r="M29" s="22">
        <v>0</v>
      </c>
      <c r="N29" s="22">
        <f>H29</f>
        <v>0</v>
      </c>
      <c r="O29" s="22">
        <v>0</v>
      </c>
      <c r="P29" s="72">
        <f>ROUND(I29-SUM(J29:O29), 0)</f>
        <v>7036</v>
      </c>
      <c r="Q29" s="27"/>
      <c r="R29" s="27"/>
      <c r="S29" s="22">
        <v>100000</v>
      </c>
      <c r="T29" s="22">
        <f>S29*1%</f>
        <v>1000</v>
      </c>
      <c r="U29" s="27"/>
      <c r="V29" s="22">
        <v>99000</v>
      </c>
      <c r="W29" s="22" t="s">
        <v>22</v>
      </c>
      <c r="X29" s="22"/>
    </row>
    <row r="30" spans="1:54" x14ac:dyDescent="0.25">
      <c r="A30" s="92">
        <v>53871</v>
      </c>
      <c r="B30" s="22" t="s">
        <v>12</v>
      </c>
      <c r="C30" s="28">
        <v>45181</v>
      </c>
      <c r="D30" s="19">
        <v>7</v>
      </c>
      <c r="E30" s="22">
        <v>2034</v>
      </c>
      <c r="F30" s="22">
        <v>0</v>
      </c>
      <c r="G30" s="22">
        <f>E30-F30</f>
        <v>2034</v>
      </c>
      <c r="H30" s="22">
        <v>0</v>
      </c>
      <c r="I30" s="22">
        <f>ROUND(G30+H30,)</f>
        <v>2034</v>
      </c>
      <c r="J30" s="22">
        <v>0</v>
      </c>
      <c r="K30" s="22">
        <v>0</v>
      </c>
      <c r="L30" s="22">
        <v>0</v>
      </c>
      <c r="M30" s="22">
        <v>0</v>
      </c>
      <c r="N30" s="22">
        <f>H30</f>
        <v>0</v>
      </c>
      <c r="O30" s="22">
        <v>0</v>
      </c>
      <c r="P30" s="72">
        <f>ROUND(I30-SUM(J30:O30), 0)</f>
        <v>2034</v>
      </c>
      <c r="Q30" s="27"/>
      <c r="R30" s="27"/>
      <c r="S30" s="22">
        <v>9070</v>
      </c>
      <c r="T30" s="27"/>
      <c r="U30" s="27"/>
      <c r="V30" s="22">
        <v>9070</v>
      </c>
      <c r="W30" s="36" t="s">
        <v>31</v>
      </c>
      <c r="X30" s="22"/>
    </row>
    <row r="31" spans="1:54" x14ac:dyDescent="0.25">
      <c r="A31" s="92">
        <v>53871</v>
      </c>
      <c r="B31" s="20" t="s">
        <v>21</v>
      </c>
      <c r="C31" s="28">
        <v>45526</v>
      </c>
      <c r="D31" s="19">
        <v>5</v>
      </c>
      <c r="E31" s="22">
        <v>39860</v>
      </c>
      <c r="F31" s="22"/>
      <c r="G31" s="22">
        <f>E31-F31</f>
        <v>39860</v>
      </c>
      <c r="H31" s="22">
        <f>ROUND(G31*18%,)</f>
        <v>7175</v>
      </c>
      <c r="I31" s="22">
        <f>ROUND(G31+H31,)</f>
        <v>47035</v>
      </c>
      <c r="J31" s="22">
        <f>G31*$J$6</f>
        <v>398.6</v>
      </c>
      <c r="K31" s="22">
        <f>G31*5%</f>
        <v>1993</v>
      </c>
      <c r="L31" s="22">
        <f>G31*10%</f>
        <v>3986</v>
      </c>
      <c r="M31" s="22">
        <f>G31*10%</f>
        <v>3986</v>
      </c>
      <c r="N31" s="72">
        <f>H31</f>
        <v>7175</v>
      </c>
      <c r="O31" s="22">
        <f>G31</f>
        <v>39860</v>
      </c>
      <c r="P31" s="22">
        <f>ROUND(I31-SUM(J31:O31), 0)</f>
        <v>-10364</v>
      </c>
      <c r="Q31" s="27"/>
      <c r="R31" s="27"/>
      <c r="S31" s="22">
        <v>50000</v>
      </c>
      <c r="T31" s="22">
        <f>S31*1%</f>
        <v>500</v>
      </c>
      <c r="U31" s="27"/>
      <c r="V31" s="22">
        <v>49500</v>
      </c>
      <c r="W31" s="22" t="s">
        <v>69</v>
      </c>
      <c r="X31" s="22"/>
    </row>
    <row r="32" spans="1:54" x14ac:dyDescent="0.25">
      <c r="A32" s="92">
        <v>53871</v>
      </c>
      <c r="B32" s="22" t="s">
        <v>12</v>
      </c>
      <c r="C32" s="28">
        <v>45526</v>
      </c>
      <c r="D32" s="19">
        <v>5</v>
      </c>
      <c r="E32" s="22">
        <f>N31</f>
        <v>7175</v>
      </c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72">
        <f>E32</f>
        <v>7175</v>
      </c>
      <c r="Q32" s="27"/>
      <c r="R32" s="27"/>
      <c r="S32" s="27"/>
      <c r="T32" s="27"/>
      <c r="U32" s="27"/>
      <c r="V32" s="22"/>
      <c r="W32" s="22"/>
      <c r="X32" s="22"/>
    </row>
    <row r="33" spans="1:54" x14ac:dyDescent="0.25">
      <c r="A33" s="92">
        <v>53871</v>
      </c>
      <c r="B33" s="22"/>
      <c r="C33" s="28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7"/>
      <c r="R33" s="27"/>
      <c r="S33" s="27"/>
      <c r="T33" s="27"/>
      <c r="U33" s="27"/>
      <c r="V33" s="22"/>
      <c r="W33" s="22"/>
      <c r="X33" s="22"/>
    </row>
    <row r="34" spans="1:54" s="4" customFormat="1" x14ac:dyDescent="0.25">
      <c r="A34" s="94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7"/>
      <c r="R34" s="37"/>
      <c r="S34" s="37"/>
      <c r="T34" s="37"/>
      <c r="U34" s="37"/>
      <c r="V34" s="31"/>
      <c r="W34" s="34"/>
      <c r="X34" s="3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</row>
    <row r="35" spans="1:54" x14ac:dyDescent="0.25">
      <c r="A35" s="92">
        <v>57473</v>
      </c>
      <c r="B35" s="20" t="s">
        <v>11</v>
      </c>
      <c r="C35" s="21">
        <v>45064</v>
      </c>
      <c r="D35" s="19">
        <v>2</v>
      </c>
      <c r="E35" s="22">
        <v>472655</v>
      </c>
      <c r="F35" s="22">
        <v>90069</v>
      </c>
      <c r="G35" s="22">
        <f t="shared" ref="G35:G40" si="4">E35-F35</f>
        <v>382586</v>
      </c>
      <c r="H35" s="22">
        <f>ROUND(G35*18%,)</f>
        <v>68865</v>
      </c>
      <c r="I35" s="22">
        <f t="shared" ref="I35:I40" si="5">ROUND(G35+H35,)</f>
        <v>451451</v>
      </c>
      <c r="J35" s="22">
        <f>G35*$J$6</f>
        <v>3825.86</v>
      </c>
      <c r="K35" s="22">
        <f>G35*5%</f>
        <v>19129.3</v>
      </c>
      <c r="L35" s="22">
        <f>G35*10%</f>
        <v>38258.6</v>
      </c>
      <c r="M35" s="22">
        <f>G35*10%</f>
        <v>38258.6</v>
      </c>
      <c r="N35" s="23">
        <f>H35</f>
        <v>68865</v>
      </c>
      <c r="O35" s="22">
        <v>4177</v>
      </c>
      <c r="P35" s="22">
        <f t="shared" ref="P35:P40" si="6">ROUNDDOWN(I35-SUM(J35:O35), 0)</f>
        <v>278936</v>
      </c>
      <c r="Q35" s="32">
        <v>57473</v>
      </c>
      <c r="R35" s="38">
        <v>79329</v>
      </c>
      <c r="S35" s="22">
        <v>278936</v>
      </c>
      <c r="T35" s="38"/>
      <c r="U35" s="38"/>
      <c r="V35" s="22">
        <v>278936</v>
      </c>
      <c r="W35" s="25" t="s">
        <v>23</v>
      </c>
      <c r="X35" s="22">
        <f>SUM(P35:P44,0)-SUM(V35:V44,0)</f>
        <v>28490</v>
      </c>
    </row>
    <row r="36" spans="1:54" x14ac:dyDescent="0.25">
      <c r="A36" s="92">
        <v>57473</v>
      </c>
      <c r="B36" s="20" t="s">
        <v>11</v>
      </c>
      <c r="C36" s="26">
        <v>45081</v>
      </c>
      <c r="D36" s="19">
        <v>3</v>
      </c>
      <c r="E36" s="22">
        <v>118659.16</v>
      </c>
      <c r="F36" s="22">
        <v>0</v>
      </c>
      <c r="G36" s="22">
        <f t="shared" si="4"/>
        <v>118659.16</v>
      </c>
      <c r="H36" s="22">
        <f>ROUND(G36*18%,)</f>
        <v>21359</v>
      </c>
      <c r="I36" s="22">
        <f t="shared" si="5"/>
        <v>140018</v>
      </c>
      <c r="J36" s="22">
        <f>G36*$J$6</f>
        <v>1186.5916</v>
      </c>
      <c r="K36" s="22">
        <f>G36*5%</f>
        <v>5932.9580000000005</v>
      </c>
      <c r="L36" s="22">
        <f>G36*10%</f>
        <v>11865.916000000001</v>
      </c>
      <c r="M36" s="22">
        <f>G36*10%</f>
        <v>11865.916000000001</v>
      </c>
      <c r="N36" s="23">
        <f>H36</f>
        <v>21359</v>
      </c>
      <c r="O36" s="22">
        <v>7670</v>
      </c>
      <c r="P36" s="22">
        <f t="shared" si="6"/>
        <v>80137</v>
      </c>
      <c r="Q36" s="24"/>
      <c r="R36" s="20"/>
      <c r="S36" s="22">
        <v>80138</v>
      </c>
      <c r="T36" s="20"/>
      <c r="U36" s="20"/>
      <c r="V36" s="22">
        <v>80138</v>
      </c>
      <c r="W36" s="25" t="s">
        <v>24</v>
      </c>
      <c r="X36" s="22"/>
    </row>
    <row r="37" spans="1:54" x14ac:dyDescent="0.25">
      <c r="A37" s="92">
        <v>57473</v>
      </c>
      <c r="B37" s="20" t="s">
        <v>12</v>
      </c>
      <c r="C37" s="21">
        <v>45111</v>
      </c>
      <c r="D37" s="19">
        <v>2</v>
      </c>
      <c r="E37" s="22">
        <v>68866</v>
      </c>
      <c r="F37" s="22"/>
      <c r="G37" s="22">
        <f t="shared" si="4"/>
        <v>68866</v>
      </c>
      <c r="H37" s="22"/>
      <c r="I37" s="22">
        <f t="shared" si="5"/>
        <v>68866</v>
      </c>
      <c r="J37" s="22"/>
      <c r="K37" s="22"/>
      <c r="L37" s="22"/>
      <c r="M37" s="22"/>
      <c r="N37" s="22"/>
      <c r="O37" s="22"/>
      <c r="P37" s="23">
        <f t="shared" si="6"/>
        <v>68866</v>
      </c>
      <c r="Q37" s="27"/>
      <c r="R37" s="27"/>
      <c r="S37" s="22">
        <v>68866</v>
      </c>
      <c r="T37" s="27"/>
      <c r="U37" s="27"/>
      <c r="V37" s="22">
        <v>68866</v>
      </c>
      <c r="W37" s="22" t="s">
        <v>25</v>
      </c>
      <c r="X37" s="22"/>
    </row>
    <row r="38" spans="1:54" x14ac:dyDescent="0.25">
      <c r="A38" s="92">
        <v>57473</v>
      </c>
      <c r="B38" s="20" t="s">
        <v>11</v>
      </c>
      <c r="C38" s="21">
        <v>45139</v>
      </c>
      <c r="D38" s="19">
        <v>9</v>
      </c>
      <c r="E38" s="22">
        <v>89072</v>
      </c>
      <c r="F38" s="22"/>
      <c r="G38" s="22">
        <f t="shared" si="4"/>
        <v>89072</v>
      </c>
      <c r="H38" s="22">
        <f>ROUND(G38*18%,)</f>
        <v>16033</v>
      </c>
      <c r="I38" s="22">
        <f t="shared" si="5"/>
        <v>105105</v>
      </c>
      <c r="J38" s="22">
        <f>G38*$J$6</f>
        <v>890.72</v>
      </c>
      <c r="K38" s="22">
        <f>G38*5%</f>
        <v>4453.6000000000004</v>
      </c>
      <c r="L38" s="22">
        <f>G38*10%</f>
        <v>8907.2000000000007</v>
      </c>
      <c r="M38" s="22">
        <f>G38*10%</f>
        <v>8907.2000000000007</v>
      </c>
      <c r="N38" s="23">
        <f>H38</f>
        <v>16033</v>
      </c>
      <c r="O38" s="22">
        <v>8251</v>
      </c>
      <c r="P38" s="22">
        <f t="shared" si="6"/>
        <v>57662</v>
      </c>
      <c r="Q38" s="27"/>
      <c r="R38" s="27"/>
      <c r="S38" s="22">
        <v>57662</v>
      </c>
      <c r="T38" s="27"/>
      <c r="U38" s="27"/>
      <c r="V38" s="22">
        <v>57662</v>
      </c>
      <c r="W38" s="22" t="s">
        <v>32</v>
      </c>
      <c r="X38" s="22"/>
    </row>
    <row r="39" spans="1:54" x14ac:dyDescent="0.25">
      <c r="A39" s="92">
        <v>57473</v>
      </c>
      <c r="B39" s="20" t="s">
        <v>12</v>
      </c>
      <c r="C39" s="21">
        <v>45180</v>
      </c>
      <c r="D39" s="19">
        <v>3</v>
      </c>
      <c r="E39" s="22">
        <v>21359</v>
      </c>
      <c r="F39" s="22"/>
      <c r="G39" s="22">
        <f t="shared" si="4"/>
        <v>21359</v>
      </c>
      <c r="H39" s="22">
        <v>0</v>
      </c>
      <c r="I39" s="22">
        <f t="shared" si="5"/>
        <v>21359</v>
      </c>
      <c r="J39" s="22">
        <v>0</v>
      </c>
      <c r="K39" s="22">
        <v>0</v>
      </c>
      <c r="L39" s="22">
        <v>0</v>
      </c>
      <c r="M39" s="22">
        <v>0</v>
      </c>
      <c r="N39" s="22">
        <f>H39</f>
        <v>0</v>
      </c>
      <c r="O39" s="22">
        <v>0</v>
      </c>
      <c r="P39" s="23">
        <f t="shared" si="6"/>
        <v>21359</v>
      </c>
      <c r="Q39" s="27"/>
      <c r="R39" s="27"/>
      <c r="S39" s="22">
        <v>21359</v>
      </c>
      <c r="T39" s="27"/>
      <c r="U39" s="27"/>
      <c r="V39" s="22">
        <v>21359</v>
      </c>
      <c r="W39" s="22" t="s">
        <v>33</v>
      </c>
      <c r="X39" s="22"/>
    </row>
    <row r="40" spans="1:54" x14ac:dyDescent="0.25">
      <c r="A40" s="92">
        <v>57473</v>
      </c>
      <c r="B40" s="20" t="s">
        <v>12</v>
      </c>
      <c r="C40" s="21">
        <v>45210</v>
      </c>
      <c r="D40" s="19">
        <v>9</v>
      </c>
      <c r="E40" s="22">
        <v>16033</v>
      </c>
      <c r="F40" s="22"/>
      <c r="G40" s="22">
        <f t="shared" si="4"/>
        <v>16033</v>
      </c>
      <c r="H40" s="22">
        <v>0</v>
      </c>
      <c r="I40" s="22">
        <f t="shared" si="5"/>
        <v>16033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22">
        <v>0</v>
      </c>
      <c r="P40" s="23">
        <f t="shared" si="6"/>
        <v>16033</v>
      </c>
      <c r="Q40" s="27"/>
      <c r="R40" s="27"/>
      <c r="S40" s="22">
        <v>16033</v>
      </c>
      <c r="T40" s="27"/>
      <c r="U40" s="27"/>
      <c r="V40" s="22">
        <v>16033</v>
      </c>
      <c r="W40" s="22" t="s">
        <v>40</v>
      </c>
      <c r="X40" s="22"/>
    </row>
    <row r="41" spans="1:54" x14ac:dyDescent="0.25">
      <c r="A41" s="92">
        <v>57473</v>
      </c>
      <c r="B41" s="20" t="s">
        <v>11</v>
      </c>
      <c r="C41" s="21">
        <v>45400</v>
      </c>
      <c r="D41" s="19">
        <v>1</v>
      </c>
      <c r="E41" s="22">
        <v>38947</v>
      </c>
      <c r="F41" s="22">
        <v>36028</v>
      </c>
      <c r="G41" s="22">
        <f t="shared" ref="G41:G42" si="7">E41-F41</f>
        <v>2919</v>
      </c>
      <c r="H41" s="22">
        <f>ROUND(G41*18%,)</f>
        <v>525</v>
      </c>
      <c r="I41" s="22">
        <f t="shared" ref="I41:I42" si="8">ROUND(G41+H41,)</f>
        <v>3444</v>
      </c>
      <c r="J41" s="22">
        <f>G41*$J$6</f>
        <v>29.19</v>
      </c>
      <c r="K41" s="22">
        <f>G41*5%</f>
        <v>145.95000000000002</v>
      </c>
      <c r="L41" s="22">
        <f>G41*10%</f>
        <v>291.90000000000003</v>
      </c>
      <c r="M41" s="22">
        <f>G41*10%</f>
        <v>291.90000000000003</v>
      </c>
      <c r="N41" s="23">
        <f>H41</f>
        <v>525</v>
      </c>
      <c r="O41" s="22">
        <v>0</v>
      </c>
      <c r="P41" s="22">
        <f t="shared" ref="P41" si="9">ROUNDDOWN(I41-SUM(J41:O41), 0)</f>
        <v>2160</v>
      </c>
      <c r="Q41" s="39"/>
      <c r="R41" s="40"/>
      <c r="S41" s="40"/>
      <c r="T41" s="40"/>
      <c r="U41" s="40"/>
      <c r="V41" s="22"/>
      <c r="W41" s="36"/>
      <c r="X41" s="22"/>
    </row>
    <row r="42" spans="1:54" x14ac:dyDescent="0.25">
      <c r="A42" s="92">
        <v>57473</v>
      </c>
      <c r="B42" s="20" t="s">
        <v>12</v>
      </c>
      <c r="C42" s="21"/>
      <c r="D42" s="19">
        <v>1</v>
      </c>
      <c r="E42" s="22">
        <f>N41</f>
        <v>525</v>
      </c>
      <c r="F42" s="22"/>
      <c r="G42" s="22">
        <f t="shared" si="7"/>
        <v>525</v>
      </c>
      <c r="H42" s="22">
        <v>0</v>
      </c>
      <c r="I42" s="22">
        <f t="shared" si="8"/>
        <v>525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22">
        <v>0</v>
      </c>
      <c r="P42" s="23">
        <f t="shared" ref="P42:P43" si="10">ROUNDDOWN(I42-SUM(J42:O42), 0)</f>
        <v>525</v>
      </c>
      <c r="Q42" s="27"/>
      <c r="R42" s="27"/>
      <c r="S42" s="27"/>
      <c r="T42" s="27"/>
      <c r="U42" s="27"/>
      <c r="V42" s="22"/>
      <c r="W42" s="36"/>
      <c r="X42" s="22"/>
    </row>
    <row r="43" spans="1:54" x14ac:dyDescent="0.25">
      <c r="A43" s="92">
        <v>57473</v>
      </c>
      <c r="B43" s="20" t="s">
        <v>11</v>
      </c>
      <c r="C43" s="21">
        <v>45442</v>
      </c>
      <c r="D43" s="19">
        <v>2</v>
      </c>
      <c r="E43" s="22">
        <v>28050</v>
      </c>
      <c r="F43" s="22">
        <v>0</v>
      </c>
      <c r="G43" s="22">
        <f t="shared" ref="G43:G44" si="11">E43-F43</f>
        <v>28050</v>
      </c>
      <c r="H43" s="22">
        <f>ROUND(G43*18%,)</f>
        <v>5049</v>
      </c>
      <c r="I43" s="22">
        <f t="shared" ref="I43:I44" si="12">ROUND(G43+H43,)</f>
        <v>33099</v>
      </c>
      <c r="J43" s="22">
        <f>G43*$J$6</f>
        <v>280.5</v>
      </c>
      <c r="K43" s="22">
        <f>G43*5%</f>
        <v>1402.5</v>
      </c>
      <c r="L43" s="22">
        <f>G43*10%</f>
        <v>2805</v>
      </c>
      <c r="M43" s="22">
        <f>G43*10%</f>
        <v>2805</v>
      </c>
      <c r="N43" s="23">
        <f>H43</f>
        <v>5049</v>
      </c>
      <c r="O43" s="22">
        <v>0</v>
      </c>
      <c r="P43" s="22">
        <f t="shared" si="10"/>
        <v>20757</v>
      </c>
      <c r="Q43" s="27"/>
      <c r="R43" s="27"/>
      <c r="S43" s="27"/>
      <c r="T43" s="27"/>
      <c r="U43" s="27"/>
      <c r="V43" s="22"/>
      <c r="W43" s="36"/>
      <c r="X43" s="22"/>
    </row>
    <row r="44" spans="1:54" x14ac:dyDescent="0.25">
      <c r="A44" s="92">
        <v>57473</v>
      </c>
      <c r="B44" s="20" t="s">
        <v>12</v>
      </c>
      <c r="C44" s="21"/>
      <c r="D44" s="19">
        <v>2</v>
      </c>
      <c r="E44" s="22">
        <f>N43</f>
        <v>5049</v>
      </c>
      <c r="F44" s="22"/>
      <c r="G44" s="22">
        <f t="shared" si="11"/>
        <v>5049</v>
      </c>
      <c r="H44" s="22">
        <v>0</v>
      </c>
      <c r="I44" s="22">
        <f t="shared" si="12"/>
        <v>5049</v>
      </c>
      <c r="J44" s="22">
        <v>0</v>
      </c>
      <c r="K44" s="22">
        <v>0</v>
      </c>
      <c r="L44" s="22">
        <v>0</v>
      </c>
      <c r="M44" s="22">
        <v>0</v>
      </c>
      <c r="N44" s="22">
        <v>0</v>
      </c>
      <c r="O44" s="22">
        <v>0</v>
      </c>
      <c r="P44" s="23">
        <f t="shared" ref="P44" si="13">ROUNDDOWN(I44-SUM(J44:O44), 0)</f>
        <v>5049</v>
      </c>
      <c r="Q44" s="27"/>
      <c r="R44" s="27"/>
      <c r="S44" s="27"/>
      <c r="T44" s="27"/>
      <c r="U44" s="27"/>
      <c r="V44" s="22"/>
      <c r="W44" s="36"/>
      <c r="X44" s="22"/>
    </row>
    <row r="45" spans="1:54" s="4" customFormat="1" x14ac:dyDescent="0.25">
      <c r="A45" s="93"/>
      <c r="B45" s="31"/>
      <c r="C45" s="31"/>
      <c r="D45" s="30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7"/>
      <c r="R45" s="37"/>
      <c r="S45" s="37"/>
      <c r="T45" s="37"/>
      <c r="U45" s="37"/>
      <c r="V45" s="31"/>
      <c r="W45" s="34"/>
      <c r="X45" s="3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</row>
    <row r="46" spans="1:54" x14ac:dyDescent="0.25">
      <c r="A46" s="92">
        <v>58072</v>
      </c>
      <c r="B46" s="20" t="s">
        <v>26</v>
      </c>
      <c r="C46" s="21">
        <v>45139</v>
      </c>
      <c r="D46" s="19">
        <v>8</v>
      </c>
      <c r="E46" s="22">
        <v>455354</v>
      </c>
      <c r="F46" s="22">
        <v>90070</v>
      </c>
      <c r="G46" s="22">
        <f t="shared" ref="G46:G51" si="14">E46-F46</f>
        <v>365284</v>
      </c>
      <c r="H46" s="22">
        <f>ROUND(G46*18%,)</f>
        <v>65751</v>
      </c>
      <c r="I46" s="22">
        <f t="shared" ref="I46:I51" si="15">ROUND(G46+H46,)</f>
        <v>431035</v>
      </c>
      <c r="J46" s="22">
        <f>G46*$J$6</f>
        <v>3652.84</v>
      </c>
      <c r="K46" s="22">
        <f>G46*5%</f>
        <v>18264.2</v>
      </c>
      <c r="L46" s="22">
        <f>G46*10%</f>
        <v>36528.400000000001</v>
      </c>
      <c r="M46" s="22">
        <f>G46*10%</f>
        <v>36528.400000000001</v>
      </c>
      <c r="N46" s="23">
        <f>H46</f>
        <v>65751</v>
      </c>
      <c r="O46" s="22">
        <v>5291</v>
      </c>
      <c r="P46" s="22">
        <f t="shared" ref="P46:P51" si="16">ROUNDDOWN(I46-SUM(J46:O46), 0)</f>
        <v>265019</v>
      </c>
      <c r="Q46" s="32">
        <v>58072</v>
      </c>
      <c r="R46" s="38">
        <v>79832</v>
      </c>
      <c r="S46" s="22">
        <v>150000</v>
      </c>
      <c r="T46" s="74">
        <f>S46*1%</f>
        <v>1500</v>
      </c>
      <c r="U46" s="74"/>
      <c r="V46" s="22">
        <v>148500</v>
      </c>
      <c r="W46" s="25" t="s">
        <v>27</v>
      </c>
      <c r="X46" s="22">
        <f>SUM(P46:P54,0)-SUM(V46:V58,0)-P55</f>
        <v>-152170</v>
      </c>
    </row>
    <row r="47" spans="1:54" x14ac:dyDescent="0.25">
      <c r="A47" s="92">
        <v>58072</v>
      </c>
      <c r="B47" s="20" t="s">
        <v>26</v>
      </c>
      <c r="C47" s="21">
        <v>45171</v>
      </c>
      <c r="D47" s="19">
        <v>10</v>
      </c>
      <c r="E47" s="22">
        <v>182672</v>
      </c>
      <c r="F47" s="22">
        <v>0</v>
      </c>
      <c r="G47" s="22">
        <f t="shared" si="14"/>
        <v>182672</v>
      </c>
      <c r="H47" s="22">
        <f>ROUND(G47*18%,)</f>
        <v>32881</v>
      </c>
      <c r="I47" s="22">
        <f t="shared" si="15"/>
        <v>215553</v>
      </c>
      <c r="J47" s="22">
        <f>G47*$J$6</f>
        <v>1826.72</v>
      </c>
      <c r="K47" s="22">
        <f>G47*5%</f>
        <v>9133.6</v>
      </c>
      <c r="L47" s="22">
        <f>G47*10%</f>
        <v>18267.2</v>
      </c>
      <c r="M47" s="22">
        <f>G47*10%</f>
        <v>18267.2</v>
      </c>
      <c r="N47" s="23">
        <f>H47</f>
        <v>32881</v>
      </c>
      <c r="O47" s="22"/>
      <c r="P47" s="22">
        <f t="shared" si="16"/>
        <v>135177</v>
      </c>
      <c r="Q47" s="24"/>
      <c r="R47" s="20"/>
      <c r="S47" s="22">
        <v>100000</v>
      </c>
      <c r="T47" s="75">
        <f>S47*1%</f>
        <v>1000</v>
      </c>
      <c r="U47" s="74"/>
      <c r="V47" s="22">
        <v>99000</v>
      </c>
      <c r="W47" s="25" t="s">
        <v>28</v>
      </c>
      <c r="X47" s="22"/>
    </row>
    <row r="48" spans="1:54" x14ac:dyDescent="0.25">
      <c r="A48" s="92">
        <v>58072</v>
      </c>
      <c r="B48" s="20" t="s">
        <v>36</v>
      </c>
      <c r="C48" s="21"/>
      <c r="D48" s="19">
        <v>8</v>
      </c>
      <c r="E48" s="22">
        <v>65751</v>
      </c>
      <c r="F48" s="22"/>
      <c r="G48" s="22">
        <f t="shared" si="14"/>
        <v>65751</v>
      </c>
      <c r="H48" s="22"/>
      <c r="I48" s="22">
        <f t="shared" si="15"/>
        <v>65751</v>
      </c>
      <c r="J48" s="22"/>
      <c r="K48" s="22"/>
      <c r="L48" s="22"/>
      <c r="M48" s="22"/>
      <c r="N48" s="22"/>
      <c r="O48" s="22"/>
      <c r="P48" s="23">
        <f t="shared" si="16"/>
        <v>65751</v>
      </c>
      <c r="Q48" s="24"/>
      <c r="R48" s="20"/>
      <c r="S48" s="22">
        <v>17519</v>
      </c>
      <c r="T48" s="20"/>
      <c r="U48" s="20"/>
      <c r="V48" s="22">
        <v>17519</v>
      </c>
      <c r="W48" s="25" t="s">
        <v>29</v>
      </c>
      <c r="X48" s="22"/>
    </row>
    <row r="49" spans="1:24" x14ac:dyDescent="0.25">
      <c r="A49" s="92">
        <v>58072</v>
      </c>
      <c r="B49" s="20" t="s">
        <v>36</v>
      </c>
      <c r="C49" s="26">
        <v>45210</v>
      </c>
      <c r="D49" s="19">
        <v>10</v>
      </c>
      <c r="E49" s="22">
        <v>32881</v>
      </c>
      <c r="F49" s="22"/>
      <c r="G49" s="22">
        <f t="shared" si="14"/>
        <v>32881</v>
      </c>
      <c r="H49" s="22"/>
      <c r="I49" s="22">
        <f t="shared" si="15"/>
        <v>32881</v>
      </c>
      <c r="J49" s="22"/>
      <c r="K49" s="22"/>
      <c r="L49" s="22"/>
      <c r="M49" s="22"/>
      <c r="N49" s="22"/>
      <c r="O49" s="22"/>
      <c r="P49" s="23">
        <f t="shared" si="16"/>
        <v>32881</v>
      </c>
      <c r="Q49" s="24"/>
      <c r="R49" s="20"/>
      <c r="S49" s="22">
        <v>79200</v>
      </c>
      <c r="T49" s="20"/>
      <c r="U49" s="20"/>
      <c r="V49" s="22">
        <v>79200</v>
      </c>
      <c r="W49" s="25" t="s">
        <v>30</v>
      </c>
      <c r="X49" s="22"/>
    </row>
    <row r="50" spans="1:24" x14ac:dyDescent="0.15">
      <c r="A50" s="92">
        <v>58072</v>
      </c>
      <c r="B50" s="20" t="s">
        <v>26</v>
      </c>
      <c r="C50" s="41">
        <v>45231</v>
      </c>
      <c r="D50" s="19">
        <v>12</v>
      </c>
      <c r="E50" s="22">
        <v>454349</v>
      </c>
      <c r="F50" s="22">
        <v>3603</v>
      </c>
      <c r="G50" s="22">
        <f t="shared" si="14"/>
        <v>450746</v>
      </c>
      <c r="H50" s="22">
        <f>ROUND(G50*18%,)</f>
        <v>81134</v>
      </c>
      <c r="I50" s="22">
        <f t="shared" si="15"/>
        <v>531880</v>
      </c>
      <c r="J50" s="22">
        <f>G50*$J$6</f>
        <v>4507.46</v>
      </c>
      <c r="K50" s="22">
        <f>G50*5%</f>
        <v>22537.300000000003</v>
      </c>
      <c r="L50" s="22">
        <f>G50*10%</f>
        <v>45074.600000000006</v>
      </c>
      <c r="M50" s="22">
        <f>G50*10%</f>
        <v>45074.600000000006</v>
      </c>
      <c r="N50" s="23">
        <f>H50</f>
        <v>81134</v>
      </c>
      <c r="O50" s="22">
        <v>435</v>
      </c>
      <c r="P50" s="22">
        <f t="shared" si="16"/>
        <v>333117</v>
      </c>
      <c r="Q50" s="27"/>
      <c r="R50" s="27"/>
      <c r="S50" s="22">
        <v>50000</v>
      </c>
      <c r="T50" s="27"/>
      <c r="U50" s="27"/>
      <c r="V50" s="22">
        <v>49500</v>
      </c>
      <c r="W50" s="73" t="s">
        <v>96</v>
      </c>
      <c r="X50" s="22"/>
    </row>
    <row r="51" spans="1:24" x14ac:dyDescent="0.25">
      <c r="A51" s="92">
        <v>58072</v>
      </c>
      <c r="B51" s="20" t="s">
        <v>36</v>
      </c>
      <c r="C51" s="26"/>
      <c r="D51" s="19">
        <v>12</v>
      </c>
      <c r="E51" s="22">
        <f>N50</f>
        <v>81134</v>
      </c>
      <c r="F51" s="22"/>
      <c r="G51" s="22">
        <f t="shared" si="14"/>
        <v>81134</v>
      </c>
      <c r="H51" s="22"/>
      <c r="I51" s="22">
        <f t="shared" si="15"/>
        <v>81134</v>
      </c>
      <c r="J51" s="22"/>
      <c r="K51" s="22"/>
      <c r="L51" s="22"/>
      <c r="M51" s="22"/>
      <c r="N51" s="22"/>
      <c r="O51" s="22"/>
      <c r="P51" s="23">
        <f t="shared" si="16"/>
        <v>81134</v>
      </c>
      <c r="Q51" s="27"/>
      <c r="R51" s="27"/>
      <c r="S51" s="22">
        <v>6477</v>
      </c>
      <c r="T51" s="27"/>
      <c r="U51" s="27"/>
      <c r="V51" s="22">
        <v>6477</v>
      </c>
      <c r="W51" s="25" t="s">
        <v>34</v>
      </c>
      <c r="X51" s="22"/>
    </row>
    <row r="52" spans="1:24" x14ac:dyDescent="0.25">
      <c r="A52" s="92">
        <v>58072</v>
      </c>
      <c r="B52" s="20" t="s">
        <v>26</v>
      </c>
      <c r="C52" s="41">
        <v>45348</v>
      </c>
      <c r="D52" s="19">
        <v>19</v>
      </c>
      <c r="E52" s="22">
        <v>52230</v>
      </c>
      <c r="F52" s="22">
        <v>0</v>
      </c>
      <c r="G52" s="22">
        <f t="shared" ref="G52" si="17">E52-F52</f>
        <v>52230</v>
      </c>
      <c r="H52" s="22">
        <f>ROUND(G52*18%,)</f>
        <v>9401</v>
      </c>
      <c r="I52" s="22">
        <f t="shared" ref="I52" si="18">ROUND(G52+H52,)</f>
        <v>61631</v>
      </c>
      <c r="J52" s="22">
        <f>G52*$J$6</f>
        <v>522.29999999999995</v>
      </c>
      <c r="K52" s="22">
        <f>G52*5%</f>
        <v>2611.5</v>
      </c>
      <c r="L52" s="22">
        <f>G52*10%</f>
        <v>5223</v>
      </c>
      <c r="M52" s="22">
        <f>G52*10%</f>
        <v>5223</v>
      </c>
      <c r="N52" s="23">
        <f>H52</f>
        <v>9401</v>
      </c>
      <c r="O52" s="22">
        <v>0</v>
      </c>
      <c r="P52" s="22">
        <f t="shared" ref="P52" si="19">ROUNDDOWN(I52-SUM(J52:O52), 0)</f>
        <v>38650</v>
      </c>
      <c r="Q52" s="27"/>
      <c r="R52" s="27"/>
      <c r="S52" s="22">
        <v>65751</v>
      </c>
      <c r="T52" s="27"/>
      <c r="U52" s="27"/>
      <c r="V52" s="22">
        <v>65751</v>
      </c>
      <c r="W52" s="22" t="s">
        <v>35</v>
      </c>
      <c r="X52" s="22"/>
    </row>
    <row r="53" spans="1:24" x14ac:dyDescent="0.25">
      <c r="A53" s="92">
        <v>58072</v>
      </c>
      <c r="B53" s="22" t="s">
        <v>36</v>
      </c>
      <c r="C53" s="22"/>
      <c r="D53" s="19">
        <v>19</v>
      </c>
      <c r="E53" s="22">
        <f>N52</f>
        <v>9401</v>
      </c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3">
        <f>E53</f>
        <v>9401</v>
      </c>
      <c r="Q53" s="39"/>
      <c r="R53" s="40"/>
      <c r="S53" s="22">
        <v>32881</v>
      </c>
      <c r="T53" s="40"/>
      <c r="U53" s="40"/>
      <c r="V53" s="22">
        <v>32881</v>
      </c>
      <c r="W53" s="22" t="s">
        <v>45</v>
      </c>
      <c r="X53" s="22"/>
    </row>
    <row r="54" spans="1:24" x14ac:dyDescent="0.25">
      <c r="A54" s="92">
        <v>58072</v>
      </c>
      <c r="B54" s="20" t="s">
        <v>26</v>
      </c>
      <c r="C54" s="41">
        <v>45735</v>
      </c>
      <c r="D54" s="19">
        <v>17</v>
      </c>
      <c r="E54" s="22">
        <v>18700</v>
      </c>
      <c r="F54" s="22">
        <v>0</v>
      </c>
      <c r="G54" s="22">
        <f t="shared" ref="G54" si="20">E54-F54</f>
        <v>18700</v>
      </c>
      <c r="H54" s="22">
        <f>ROUND(G54*18%,)</f>
        <v>3366</v>
      </c>
      <c r="I54" s="22">
        <f t="shared" ref="I54" si="21">ROUND(G54+H54,)</f>
        <v>22066</v>
      </c>
      <c r="J54" s="22">
        <f>G54*$J$6</f>
        <v>187</v>
      </c>
      <c r="K54" s="22">
        <f>G54*5%</f>
        <v>935</v>
      </c>
      <c r="L54" s="22">
        <f>G54*10%</f>
        <v>1870</v>
      </c>
      <c r="M54" s="22">
        <f>G54*10%</f>
        <v>1870</v>
      </c>
      <c r="N54" s="23">
        <f>H54</f>
        <v>3366</v>
      </c>
      <c r="O54" s="22">
        <v>0</v>
      </c>
      <c r="P54" s="22">
        <f t="shared" ref="P54" si="22">ROUNDDOWN(I54-SUM(J54:O54), 0)</f>
        <v>13838</v>
      </c>
      <c r="Q54" s="27"/>
      <c r="R54" s="27"/>
      <c r="S54" s="22">
        <v>200000</v>
      </c>
      <c r="T54" s="22">
        <f>S54*1%</f>
        <v>2000</v>
      </c>
      <c r="U54" s="22"/>
      <c r="V54" s="22">
        <v>198000</v>
      </c>
      <c r="W54" s="22" t="s">
        <v>46</v>
      </c>
      <c r="X54" s="22"/>
    </row>
    <row r="55" spans="1:24" x14ac:dyDescent="0.25">
      <c r="A55" s="92">
        <v>58072</v>
      </c>
      <c r="B55" s="79" t="s">
        <v>110</v>
      </c>
      <c r="C55" s="28">
        <v>45749</v>
      </c>
      <c r="D55" s="19">
        <v>178</v>
      </c>
      <c r="E55" s="22">
        <v>175000</v>
      </c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>
        <f>E55</f>
        <v>175000</v>
      </c>
      <c r="Q55" s="27"/>
      <c r="R55" s="27"/>
      <c r="S55" s="22">
        <v>135530</v>
      </c>
      <c r="T55" s="27"/>
      <c r="U55" s="27"/>
      <c r="V55" s="22">
        <v>135530</v>
      </c>
      <c r="W55" s="22" t="s">
        <v>47</v>
      </c>
      <c r="X55" s="22"/>
    </row>
    <row r="56" spans="1:24" x14ac:dyDescent="0.25">
      <c r="A56" s="92">
        <v>58072</v>
      </c>
      <c r="B56" s="22"/>
      <c r="C56" s="22"/>
      <c r="D56" s="19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7"/>
      <c r="R56" s="27"/>
      <c r="S56" s="22">
        <v>81129</v>
      </c>
      <c r="T56" s="27"/>
      <c r="U56" s="27"/>
      <c r="V56" s="22">
        <v>81129</v>
      </c>
      <c r="W56" s="22" t="s">
        <v>44</v>
      </c>
      <c r="X56" s="22"/>
    </row>
    <row r="57" spans="1:24" x14ac:dyDescent="0.25">
      <c r="A57" s="92">
        <v>58072</v>
      </c>
      <c r="B57" s="22"/>
      <c r="C57" s="22"/>
      <c r="D57" s="19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7"/>
      <c r="R57" s="27"/>
      <c r="S57" s="22">
        <v>38651</v>
      </c>
      <c r="T57" s="27"/>
      <c r="U57" s="27"/>
      <c r="V57" s="22">
        <v>38651</v>
      </c>
      <c r="W57" s="22" t="s">
        <v>57</v>
      </c>
      <c r="X57" s="22"/>
    </row>
    <row r="58" spans="1:24" x14ac:dyDescent="0.25">
      <c r="A58" s="92">
        <v>58072</v>
      </c>
      <c r="B58" s="22"/>
      <c r="C58" s="22"/>
      <c r="D58" s="19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7"/>
      <c r="R58" s="27"/>
      <c r="S58" s="27"/>
      <c r="T58" s="27"/>
      <c r="U58" s="27"/>
      <c r="V58" s="22"/>
      <c r="W58" s="22"/>
      <c r="X58" s="22"/>
    </row>
    <row r="59" spans="1:24" x14ac:dyDescent="0.25">
      <c r="A59" s="93"/>
      <c r="B59" s="31"/>
      <c r="C59" s="31"/>
      <c r="D59" s="30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42">
        <f>A60</f>
        <v>59171</v>
      </c>
      <c r="R59" s="43"/>
      <c r="S59" s="43"/>
      <c r="T59" s="43"/>
      <c r="U59" s="43"/>
      <c r="V59" s="31"/>
      <c r="W59" s="34"/>
      <c r="X59" s="31"/>
    </row>
    <row r="60" spans="1:24" x14ac:dyDescent="0.25">
      <c r="A60" s="92">
        <v>59171</v>
      </c>
      <c r="B60" s="20" t="s">
        <v>37</v>
      </c>
      <c r="C60" s="21">
        <v>45208</v>
      </c>
      <c r="D60" s="19">
        <v>11</v>
      </c>
      <c r="E60" s="22">
        <v>308075</v>
      </c>
      <c r="F60" s="22">
        <v>36028</v>
      </c>
      <c r="G60" s="22">
        <f>E60-F60</f>
        <v>272047</v>
      </c>
      <c r="H60" s="22">
        <f>ROUND(G60*18%,)</f>
        <v>48968</v>
      </c>
      <c r="I60" s="22">
        <f>ROUND(G60+H60,)</f>
        <v>321015</v>
      </c>
      <c r="J60" s="22">
        <f>G60*$J$6</f>
        <v>2720.4700000000003</v>
      </c>
      <c r="K60" s="22">
        <f>G60*5%</f>
        <v>13602.35</v>
      </c>
      <c r="L60" s="22">
        <f>G60*10%</f>
        <v>27204.7</v>
      </c>
      <c r="M60" s="22">
        <f>G60*10%</f>
        <v>27204.7</v>
      </c>
      <c r="N60" s="23">
        <f>H60</f>
        <v>48968</v>
      </c>
      <c r="O60" s="22">
        <v>128546</v>
      </c>
      <c r="P60" s="22">
        <f>ROUNDDOWN(I60-SUM(J60:O60), 0)</f>
        <v>72768</v>
      </c>
      <c r="Q60" s="24"/>
      <c r="R60" s="20">
        <v>81244</v>
      </c>
      <c r="S60" s="22">
        <v>99000</v>
      </c>
      <c r="T60" s="20"/>
      <c r="U60" s="20"/>
      <c r="V60" s="22">
        <v>99000</v>
      </c>
      <c r="W60" s="22" t="s">
        <v>38</v>
      </c>
      <c r="X60" s="22">
        <f>SUM(P60:P65,0)-SUM(V60:V65,0)</f>
        <v>-168251</v>
      </c>
    </row>
    <row r="61" spans="1:24" x14ac:dyDescent="0.25">
      <c r="A61" s="92">
        <v>59171</v>
      </c>
      <c r="B61" s="20" t="s">
        <v>37</v>
      </c>
      <c r="C61" s="21">
        <v>45287</v>
      </c>
      <c r="D61" s="19">
        <v>15</v>
      </c>
      <c r="E61" s="22">
        <v>122650</v>
      </c>
      <c r="F61" s="22">
        <v>28194</v>
      </c>
      <c r="G61" s="22">
        <f>E61-F61</f>
        <v>94456</v>
      </c>
      <c r="H61" s="22">
        <f>ROUND(G61*18%,)</f>
        <v>17002</v>
      </c>
      <c r="I61" s="22">
        <f>ROUND(G61+H61,)</f>
        <v>111458</v>
      </c>
      <c r="J61" s="22">
        <f>G61*$J$6</f>
        <v>944.56000000000006</v>
      </c>
      <c r="K61" s="22">
        <f>G61*5%</f>
        <v>4722.8</v>
      </c>
      <c r="L61" s="22">
        <f>G61*10%</f>
        <v>9445.6</v>
      </c>
      <c r="M61" s="22">
        <f>G61*10%</f>
        <v>9445.6</v>
      </c>
      <c r="N61" s="23">
        <f>H61</f>
        <v>17002</v>
      </c>
      <c r="O61" s="22">
        <v>61853</v>
      </c>
      <c r="P61" s="22">
        <f>ROUNDDOWN(I61-SUM(J61:O61), 0)</f>
        <v>8044</v>
      </c>
      <c r="Q61" s="24"/>
      <c r="R61" s="20"/>
      <c r="S61" s="22">
        <v>99000</v>
      </c>
      <c r="T61" s="20"/>
      <c r="U61" s="20"/>
      <c r="V61" s="22">
        <v>99000</v>
      </c>
      <c r="W61" s="22" t="s">
        <v>42</v>
      </c>
      <c r="X61" s="22"/>
    </row>
    <row r="62" spans="1:24" x14ac:dyDescent="0.25">
      <c r="A62" s="92">
        <v>59171</v>
      </c>
      <c r="B62" s="20" t="s">
        <v>39</v>
      </c>
      <c r="C62" s="21"/>
      <c r="D62" s="19">
        <v>11</v>
      </c>
      <c r="E62" s="22">
        <f>N60</f>
        <v>48968</v>
      </c>
      <c r="F62" s="22"/>
      <c r="G62" s="22">
        <f>E62-F62</f>
        <v>48968</v>
      </c>
      <c r="H62" s="22">
        <v>0</v>
      </c>
      <c r="I62" s="22">
        <f>ROUND(G62+H62,)</f>
        <v>48968</v>
      </c>
      <c r="J62" s="22">
        <v>0</v>
      </c>
      <c r="K62" s="22">
        <v>0</v>
      </c>
      <c r="L62" s="22">
        <v>0</v>
      </c>
      <c r="M62" s="22">
        <v>0</v>
      </c>
      <c r="N62" s="22">
        <f>H62</f>
        <v>0</v>
      </c>
      <c r="O62" s="22"/>
      <c r="P62" s="23">
        <f>ROUNDDOWN(I62-SUM(J62:O62), 0)</f>
        <v>48968</v>
      </c>
      <c r="Q62" s="24"/>
      <c r="R62" s="20"/>
      <c r="S62" s="22">
        <v>48968</v>
      </c>
      <c r="T62" s="20"/>
      <c r="U62" s="20"/>
      <c r="V62" s="22">
        <v>48968</v>
      </c>
      <c r="W62" s="22" t="s">
        <v>43</v>
      </c>
      <c r="X62" s="22"/>
    </row>
    <row r="63" spans="1:24" x14ac:dyDescent="0.25">
      <c r="A63" s="92">
        <v>59171</v>
      </c>
      <c r="B63" s="20" t="s">
        <v>39</v>
      </c>
      <c r="C63" s="21"/>
      <c r="D63" s="19">
        <v>15</v>
      </c>
      <c r="E63" s="22">
        <f>N61</f>
        <v>17002</v>
      </c>
      <c r="F63" s="22"/>
      <c r="G63" s="22">
        <f>E63-F63</f>
        <v>17002</v>
      </c>
      <c r="H63" s="22">
        <v>0</v>
      </c>
      <c r="I63" s="22">
        <f>ROUND(G63+H63,)</f>
        <v>17002</v>
      </c>
      <c r="J63" s="22">
        <v>0</v>
      </c>
      <c r="K63" s="22">
        <v>0</v>
      </c>
      <c r="L63" s="22">
        <v>0</v>
      </c>
      <c r="M63" s="22">
        <v>0</v>
      </c>
      <c r="N63" s="22">
        <f>H63</f>
        <v>0</v>
      </c>
      <c r="O63" s="22"/>
      <c r="P63" s="23">
        <f>ROUNDDOWN(I63-SUM(J63:O63), 0)</f>
        <v>17002</v>
      </c>
      <c r="Q63" s="24"/>
      <c r="R63" s="20"/>
      <c r="S63" s="22">
        <v>49500</v>
      </c>
      <c r="T63" s="20"/>
      <c r="U63" s="20"/>
      <c r="V63" s="22">
        <v>49500</v>
      </c>
      <c r="W63" s="22" t="s">
        <v>52</v>
      </c>
      <c r="X63" s="22"/>
    </row>
    <row r="64" spans="1:24" x14ac:dyDescent="0.25">
      <c r="A64" s="92">
        <v>59171</v>
      </c>
      <c r="B64" s="38" t="s">
        <v>37</v>
      </c>
      <c r="C64" s="76">
        <v>45348</v>
      </c>
      <c r="D64" s="77">
        <v>18</v>
      </c>
      <c r="E64" s="29">
        <v>19548</v>
      </c>
      <c r="F64" s="29">
        <v>0</v>
      </c>
      <c r="G64" s="29">
        <f>E64-F64</f>
        <v>19548</v>
      </c>
      <c r="H64" s="29">
        <f>ROUND(G64*18%,)</f>
        <v>3519</v>
      </c>
      <c r="I64" s="29">
        <f>ROUND(G64+H64,)</f>
        <v>23067</v>
      </c>
      <c r="J64" s="29">
        <f>G64*$J$6</f>
        <v>195.48000000000002</v>
      </c>
      <c r="K64" s="29">
        <f>G64*5%</f>
        <v>977.40000000000009</v>
      </c>
      <c r="L64" s="29">
        <f>G64*10%</f>
        <v>1954.8000000000002</v>
      </c>
      <c r="M64" s="29">
        <f>G64*10%</f>
        <v>1954.8000000000002</v>
      </c>
      <c r="N64" s="78">
        <f>H64</f>
        <v>3519</v>
      </c>
      <c r="O64" s="29">
        <v>19548</v>
      </c>
      <c r="P64" s="29">
        <f>ROUNDDOWN(I64-SUM(J64:O64), 0)</f>
        <v>-5082</v>
      </c>
      <c r="Q64" s="24"/>
      <c r="R64" s="20"/>
      <c r="S64" s="22">
        <v>17002</v>
      </c>
      <c r="T64" s="20"/>
      <c r="U64" s="20"/>
      <c r="V64" s="22">
        <v>17002</v>
      </c>
      <c r="W64" s="22" t="s">
        <v>54</v>
      </c>
      <c r="X64" s="22"/>
    </row>
    <row r="65" spans="1:24" x14ac:dyDescent="0.25">
      <c r="A65" s="92">
        <v>59171</v>
      </c>
      <c r="B65" s="20" t="s">
        <v>39</v>
      </c>
      <c r="C65" s="21"/>
      <c r="D65" s="19">
        <v>18</v>
      </c>
      <c r="E65" s="22">
        <f>N64</f>
        <v>3519</v>
      </c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3">
        <f>E65</f>
        <v>3519</v>
      </c>
      <c r="Q65" s="24"/>
      <c r="R65" s="20"/>
      <c r="S65" s="20"/>
      <c r="T65" s="20"/>
      <c r="U65" s="20"/>
      <c r="V65" s="22"/>
      <c r="W65" s="22"/>
      <c r="X65" s="22"/>
    </row>
    <row r="66" spans="1:24" x14ac:dyDescent="0.25">
      <c r="A66" s="93"/>
      <c r="B66" s="33"/>
      <c r="C66" s="44"/>
      <c r="D66" s="30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42">
        <f>A67</f>
        <v>60929</v>
      </c>
      <c r="R66" s="43"/>
      <c r="S66" s="43"/>
      <c r="T66" s="43"/>
      <c r="U66" s="43"/>
      <c r="V66" s="31"/>
      <c r="W66" s="31"/>
      <c r="X66" s="31"/>
    </row>
    <row r="67" spans="1:24" x14ac:dyDescent="0.25">
      <c r="A67" s="92">
        <v>60929</v>
      </c>
      <c r="B67" s="22" t="s">
        <v>137</v>
      </c>
      <c r="C67" s="28">
        <v>45290</v>
      </c>
      <c r="D67" s="19">
        <v>16</v>
      </c>
      <c r="E67" s="22">
        <v>411113</v>
      </c>
      <c r="F67" s="22">
        <v>90070</v>
      </c>
      <c r="G67" s="22">
        <f t="shared" ref="G67" si="23">E67-F67</f>
        <v>321043</v>
      </c>
      <c r="H67" s="22">
        <f t="shared" ref="H67" si="24">ROUND(G67*18%,)</f>
        <v>57788</v>
      </c>
      <c r="I67" s="22">
        <f t="shared" ref="I67" si="25">ROUND(G67+H67,)</f>
        <v>378831</v>
      </c>
      <c r="J67" s="22">
        <f t="shared" ref="J67" si="26">G67*$J$6</f>
        <v>3210.4300000000003</v>
      </c>
      <c r="K67" s="22">
        <f t="shared" ref="K67" si="27">G67*5%</f>
        <v>16052.150000000001</v>
      </c>
      <c r="L67" s="22">
        <f t="shared" ref="L67" si="28">G67*10%</f>
        <v>32104.300000000003</v>
      </c>
      <c r="M67" s="22">
        <f t="shared" ref="M67" si="29">G67*10%</f>
        <v>32104.300000000003</v>
      </c>
      <c r="N67" s="23">
        <f t="shared" ref="N67" si="30">H67</f>
        <v>57788</v>
      </c>
      <c r="O67" s="22">
        <v>50073</v>
      </c>
      <c r="P67" s="22">
        <f t="shared" ref="P67" si="31">ROUNDDOWN(I67-SUM(J67:O67), 0)</f>
        <v>187498</v>
      </c>
      <c r="Q67" s="27"/>
      <c r="R67" s="27">
        <v>81248</v>
      </c>
      <c r="S67" s="22">
        <v>1500000</v>
      </c>
      <c r="T67" s="22">
        <f>S67*1%</f>
        <v>15000</v>
      </c>
      <c r="U67" s="22"/>
      <c r="V67" s="22">
        <v>148500</v>
      </c>
      <c r="W67" s="25" t="s">
        <v>48</v>
      </c>
      <c r="X67" s="22">
        <f>SUM(P67:P78,0)-SUM(V67:V78,0)</f>
        <v>-167746</v>
      </c>
    </row>
    <row r="68" spans="1:24" x14ac:dyDescent="0.25">
      <c r="A68" s="92">
        <v>60929</v>
      </c>
      <c r="B68" s="20" t="s">
        <v>39</v>
      </c>
      <c r="C68" s="21"/>
      <c r="D68" s="19">
        <v>16</v>
      </c>
      <c r="E68" s="22">
        <f>N67</f>
        <v>57788</v>
      </c>
      <c r="F68" s="22"/>
      <c r="G68" s="22">
        <f>E68-F68</f>
        <v>57788</v>
      </c>
      <c r="H68" s="22">
        <v>0</v>
      </c>
      <c r="I68" s="22">
        <f>ROUND(G68+H68,)</f>
        <v>57788</v>
      </c>
      <c r="J68" s="22">
        <v>0</v>
      </c>
      <c r="K68" s="22">
        <v>0</v>
      </c>
      <c r="L68" s="22">
        <v>0</v>
      </c>
      <c r="M68" s="22">
        <v>0</v>
      </c>
      <c r="N68" s="22">
        <f>H68</f>
        <v>0</v>
      </c>
      <c r="O68" s="22"/>
      <c r="P68" s="23">
        <f>ROUNDDOWN(I68-SUM(J68:O68), 0)</f>
        <v>57788</v>
      </c>
      <c r="Q68" s="27"/>
      <c r="R68" s="27"/>
      <c r="S68" s="22">
        <v>39001</v>
      </c>
      <c r="T68" s="22"/>
      <c r="U68" s="22"/>
      <c r="V68" s="22">
        <v>39001</v>
      </c>
      <c r="W68" s="22" t="s">
        <v>49</v>
      </c>
      <c r="X68" s="22"/>
    </row>
    <row r="69" spans="1:24" x14ac:dyDescent="0.25">
      <c r="A69" s="92">
        <v>60929</v>
      </c>
      <c r="B69" s="22" t="s">
        <v>137</v>
      </c>
      <c r="C69" s="28">
        <v>45290</v>
      </c>
      <c r="D69" s="19">
        <v>17</v>
      </c>
      <c r="E69" s="22">
        <v>187804</v>
      </c>
      <c r="F69" s="22">
        <v>36028</v>
      </c>
      <c r="G69" s="22">
        <f t="shared" ref="G69" si="32">E69-F69</f>
        <v>151776</v>
      </c>
      <c r="H69" s="22">
        <f t="shared" ref="H69" si="33">ROUND(G69*18%,)</f>
        <v>27320</v>
      </c>
      <c r="I69" s="22">
        <f t="shared" ref="I69" si="34">ROUND(G69+H69,)</f>
        <v>179096</v>
      </c>
      <c r="J69" s="22">
        <f t="shared" ref="J69" si="35">G69*$J$6</f>
        <v>1517.76</v>
      </c>
      <c r="K69" s="22">
        <f t="shared" ref="K69" si="36">G69*5%</f>
        <v>7588.8</v>
      </c>
      <c r="L69" s="22">
        <f t="shared" ref="L69" si="37">G69*10%</f>
        <v>15177.6</v>
      </c>
      <c r="M69" s="22">
        <f t="shared" ref="M69" si="38">G69*10%</f>
        <v>15177.6</v>
      </c>
      <c r="N69" s="23">
        <f t="shared" ref="N69" si="39">H69</f>
        <v>27320</v>
      </c>
      <c r="O69" s="22">
        <v>7934</v>
      </c>
      <c r="P69" s="22">
        <f t="shared" ref="P69" si="40">ROUNDDOWN(I69-SUM(J69:O69), 0)</f>
        <v>104380</v>
      </c>
      <c r="Q69" s="27"/>
      <c r="R69" s="27"/>
      <c r="S69" s="22">
        <v>104379</v>
      </c>
      <c r="T69" s="22">
        <f t="shared" ref="T69:T77" si="41">S69*1%</f>
        <v>1043.79</v>
      </c>
      <c r="U69" s="22"/>
      <c r="V69" s="22">
        <v>104379</v>
      </c>
      <c r="W69" s="22" t="s">
        <v>53</v>
      </c>
      <c r="X69" s="22"/>
    </row>
    <row r="70" spans="1:24" x14ac:dyDescent="0.25">
      <c r="A70" s="92">
        <v>60929</v>
      </c>
      <c r="B70" s="20" t="s">
        <v>39</v>
      </c>
      <c r="C70" s="21"/>
      <c r="D70" s="19">
        <v>16</v>
      </c>
      <c r="E70" s="22">
        <f>N69</f>
        <v>27320</v>
      </c>
      <c r="F70" s="22"/>
      <c r="G70" s="22">
        <f>E70-F70</f>
        <v>27320</v>
      </c>
      <c r="H70" s="22">
        <v>0</v>
      </c>
      <c r="I70" s="22">
        <f>ROUND(G70+H70,)</f>
        <v>27320</v>
      </c>
      <c r="J70" s="22">
        <v>0</v>
      </c>
      <c r="K70" s="22">
        <v>0</v>
      </c>
      <c r="L70" s="22">
        <v>0</v>
      </c>
      <c r="M70" s="22">
        <v>0</v>
      </c>
      <c r="N70" s="22">
        <f>H70</f>
        <v>0</v>
      </c>
      <c r="O70" s="22"/>
      <c r="P70" s="23">
        <f>ROUNDDOWN(I70-SUM(J70:O70), 0)</f>
        <v>27320</v>
      </c>
      <c r="Q70" s="45"/>
      <c r="R70" s="46"/>
      <c r="S70" s="47">
        <v>27320</v>
      </c>
      <c r="T70" s="22"/>
      <c r="U70" s="22"/>
      <c r="V70" s="47">
        <v>27320</v>
      </c>
      <c r="W70" s="22" t="s">
        <v>55</v>
      </c>
      <c r="X70" s="22"/>
    </row>
    <row r="71" spans="1:24" x14ac:dyDescent="0.25">
      <c r="A71" s="92">
        <v>60929</v>
      </c>
      <c r="B71" s="22" t="s">
        <v>137</v>
      </c>
      <c r="C71" s="28">
        <v>45382</v>
      </c>
      <c r="D71" s="19">
        <v>20</v>
      </c>
      <c r="E71" s="22">
        <v>633565</v>
      </c>
      <c r="F71" s="22">
        <v>2.6</v>
      </c>
      <c r="G71" s="22">
        <f t="shared" ref="G71" si="42">E71-F71</f>
        <v>633562.4</v>
      </c>
      <c r="H71" s="22">
        <f t="shared" ref="H71" si="43">ROUND(G71*18%,)</f>
        <v>114041</v>
      </c>
      <c r="I71" s="22">
        <f t="shared" ref="I71" si="44">ROUND(G71+H71,)</f>
        <v>747603</v>
      </c>
      <c r="J71" s="22">
        <f t="shared" ref="J71" si="45">G71*$J$6</f>
        <v>6335.6240000000007</v>
      </c>
      <c r="K71" s="22">
        <f t="shared" ref="K71" si="46">G71*5%</f>
        <v>31678.120000000003</v>
      </c>
      <c r="L71" s="22">
        <f t="shared" ref="L71" si="47">G71*10%</f>
        <v>63356.240000000005</v>
      </c>
      <c r="M71" s="22">
        <f t="shared" ref="M71" si="48">G71*10%</f>
        <v>63356.240000000005</v>
      </c>
      <c r="N71" s="23">
        <f t="shared" ref="N71" si="49">H71</f>
        <v>114041</v>
      </c>
      <c r="O71" s="22">
        <v>33807</v>
      </c>
      <c r="P71" s="22">
        <f t="shared" ref="P71" si="50">ROUNDDOWN(I71-SUM(J71:O71), 0)</f>
        <v>435028</v>
      </c>
      <c r="Q71" s="48"/>
      <c r="R71" s="49"/>
      <c r="S71" s="47">
        <v>57788</v>
      </c>
      <c r="T71" s="22"/>
      <c r="U71" s="22"/>
      <c r="V71" s="47">
        <v>57788</v>
      </c>
      <c r="W71" s="22" t="s">
        <v>56</v>
      </c>
      <c r="X71" s="22"/>
    </row>
    <row r="72" spans="1:24" x14ac:dyDescent="0.25">
      <c r="A72" s="92">
        <v>60929</v>
      </c>
      <c r="B72" s="51" t="s">
        <v>39</v>
      </c>
      <c r="C72" s="52"/>
      <c r="D72" s="50">
        <v>20</v>
      </c>
      <c r="E72" s="51">
        <f>N71</f>
        <v>114041</v>
      </c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3">
        <f>E72</f>
        <v>114041</v>
      </c>
      <c r="Q72" s="54"/>
      <c r="R72" s="49"/>
      <c r="S72" s="55">
        <v>250000</v>
      </c>
      <c r="T72" s="22">
        <f t="shared" si="41"/>
        <v>2500</v>
      </c>
      <c r="U72" s="22"/>
      <c r="V72" s="55">
        <v>247500</v>
      </c>
      <c r="W72" s="51" t="s">
        <v>58</v>
      </c>
      <c r="X72" s="51"/>
    </row>
    <row r="73" spans="1:24" x14ac:dyDescent="0.25">
      <c r="A73" s="92">
        <v>60929</v>
      </c>
      <c r="B73" s="22" t="s">
        <v>137</v>
      </c>
      <c r="C73" s="28">
        <v>45501</v>
      </c>
      <c r="D73" s="19">
        <v>3</v>
      </c>
      <c r="E73" s="22">
        <v>354650</v>
      </c>
      <c r="F73" s="22">
        <v>35228</v>
      </c>
      <c r="G73" s="22">
        <f t="shared" ref="G73" si="51">E73-F73</f>
        <v>319422</v>
      </c>
      <c r="H73" s="22">
        <f t="shared" ref="H73" si="52">ROUND(G73*18%,)</f>
        <v>57496</v>
      </c>
      <c r="I73" s="22">
        <f t="shared" ref="I73" si="53">ROUND(G73+H73,)</f>
        <v>376918</v>
      </c>
      <c r="J73" s="22">
        <f t="shared" ref="J73" si="54">G73*$J$6</f>
        <v>3194.2200000000003</v>
      </c>
      <c r="K73" s="22">
        <f t="shared" ref="K73" si="55">G73*5%</f>
        <v>15971.1</v>
      </c>
      <c r="L73" s="22">
        <f t="shared" ref="L73" si="56">G73*10%</f>
        <v>31942.2</v>
      </c>
      <c r="M73" s="22">
        <f t="shared" ref="M73" si="57">G73*10%</f>
        <v>31942.2</v>
      </c>
      <c r="N73" s="23">
        <f t="shared" ref="N73" si="58">H73</f>
        <v>57496</v>
      </c>
      <c r="O73" s="22">
        <v>137810</v>
      </c>
      <c r="P73" s="22">
        <f t="shared" ref="P73" si="59">ROUNDDOWN(I73-SUM(J73:O73), 0)</f>
        <v>98562</v>
      </c>
      <c r="Q73" s="54"/>
      <c r="R73" s="49"/>
      <c r="S73" s="55">
        <v>300000</v>
      </c>
      <c r="T73" s="22">
        <f t="shared" si="41"/>
        <v>3000</v>
      </c>
      <c r="U73" s="22"/>
      <c r="V73" s="55">
        <v>297000</v>
      </c>
      <c r="W73" s="51" t="s">
        <v>59</v>
      </c>
      <c r="X73" s="51"/>
    </row>
    <row r="74" spans="1:24" x14ac:dyDescent="0.25">
      <c r="A74" s="92">
        <v>60929</v>
      </c>
      <c r="B74" s="51" t="s">
        <v>39</v>
      </c>
      <c r="C74" s="52"/>
      <c r="D74" s="50">
        <v>3</v>
      </c>
      <c r="E74" s="51">
        <f>N73</f>
        <v>57496</v>
      </c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3">
        <f>E74</f>
        <v>57496</v>
      </c>
      <c r="Q74" s="54"/>
      <c r="R74" s="49"/>
      <c r="S74" s="55">
        <v>200000</v>
      </c>
      <c r="T74" s="22">
        <f t="shared" si="41"/>
        <v>2000</v>
      </c>
      <c r="U74" s="22"/>
      <c r="V74" s="55">
        <v>198000</v>
      </c>
      <c r="W74" s="51" t="s">
        <v>62</v>
      </c>
      <c r="X74" s="51"/>
    </row>
    <row r="75" spans="1:24" x14ac:dyDescent="0.25">
      <c r="A75" s="92">
        <v>60929</v>
      </c>
      <c r="B75" s="22" t="s">
        <v>137</v>
      </c>
      <c r="C75" s="52">
        <v>45591</v>
      </c>
      <c r="D75" s="50">
        <v>8</v>
      </c>
      <c r="E75" s="51">
        <v>279016.5</v>
      </c>
      <c r="F75" s="51">
        <f>17614+1.5</f>
        <v>17615.5</v>
      </c>
      <c r="G75" s="22">
        <f t="shared" ref="G75" si="60">E75-F75</f>
        <v>261401</v>
      </c>
      <c r="H75" s="22">
        <f t="shared" ref="H75" si="61">ROUND(G75*18%,)</f>
        <v>47052</v>
      </c>
      <c r="I75" s="22">
        <f t="shared" ref="I75" si="62">ROUND(G75+H75,)</f>
        <v>308453</v>
      </c>
      <c r="J75" s="22">
        <f t="shared" ref="J75" si="63">G75*$J$6</f>
        <v>2614.0100000000002</v>
      </c>
      <c r="K75" s="22">
        <f t="shared" ref="K75" si="64">G75*5%</f>
        <v>13070.050000000001</v>
      </c>
      <c r="L75" s="22">
        <f t="shared" ref="L75" si="65">G75*10%</f>
        <v>26140.100000000002</v>
      </c>
      <c r="M75" s="22">
        <f t="shared" ref="M75" si="66">G75*10%</f>
        <v>26140.100000000002</v>
      </c>
      <c r="N75" s="23">
        <f t="shared" ref="N75" si="67">H75</f>
        <v>47052</v>
      </c>
      <c r="O75" s="22">
        <v>4760</v>
      </c>
      <c r="P75" s="22">
        <f t="shared" ref="P75" si="68">ROUNDDOWN(I75-SUM(J75:O75), 0)</f>
        <v>188676</v>
      </c>
      <c r="Q75" s="54"/>
      <c r="R75" s="49"/>
      <c r="S75" s="55">
        <v>80000</v>
      </c>
      <c r="T75" s="22">
        <f t="shared" si="41"/>
        <v>800</v>
      </c>
      <c r="U75" s="22"/>
      <c r="V75" s="55">
        <v>79200</v>
      </c>
      <c r="W75" s="51" t="s">
        <v>63</v>
      </c>
      <c r="X75" s="51"/>
    </row>
    <row r="76" spans="1:24" x14ac:dyDescent="0.25">
      <c r="A76" s="92">
        <v>60929</v>
      </c>
      <c r="B76" s="20" t="s">
        <v>39</v>
      </c>
      <c r="C76" s="52"/>
      <c r="D76" s="50">
        <v>8</v>
      </c>
      <c r="E76" s="51">
        <f>N75</f>
        <v>47052</v>
      </c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3">
        <f>E76</f>
        <v>47052</v>
      </c>
      <c r="Q76" s="54"/>
      <c r="R76" s="49"/>
      <c r="S76" s="55">
        <v>120000</v>
      </c>
      <c r="T76" s="22">
        <f t="shared" si="41"/>
        <v>1200</v>
      </c>
      <c r="U76" s="22"/>
      <c r="V76" s="55">
        <v>118800</v>
      </c>
      <c r="W76" s="51" t="s">
        <v>72</v>
      </c>
      <c r="X76" s="51"/>
    </row>
    <row r="77" spans="1:24" x14ac:dyDescent="0.25">
      <c r="A77" s="92">
        <v>60929</v>
      </c>
      <c r="B77" s="22" t="s">
        <v>137</v>
      </c>
      <c r="C77" s="52">
        <v>45709</v>
      </c>
      <c r="D77" s="50">
        <v>14</v>
      </c>
      <c r="E77" s="51">
        <v>193914</v>
      </c>
      <c r="F77" s="51">
        <v>0</v>
      </c>
      <c r="G77" s="22">
        <f t="shared" ref="G77" si="69">E77-F77</f>
        <v>193914</v>
      </c>
      <c r="H77" s="22">
        <f t="shared" ref="H77" si="70">ROUND(G77*18%,)</f>
        <v>34905</v>
      </c>
      <c r="I77" s="22">
        <f t="shared" ref="I77" si="71">ROUND(G77+H77,)</f>
        <v>228819</v>
      </c>
      <c r="J77" s="22">
        <f t="shared" ref="J77" si="72">G77*$J$6</f>
        <v>1939.14</v>
      </c>
      <c r="K77" s="22">
        <f t="shared" ref="K77" si="73">G77*5%</f>
        <v>9695.7000000000007</v>
      </c>
      <c r="L77" s="22">
        <f t="shared" ref="L77" si="74">G77*10%</f>
        <v>19391.400000000001</v>
      </c>
      <c r="M77" s="22">
        <f t="shared" ref="M77" si="75">G77*10%</f>
        <v>19391.400000000001</v>
      </c>
      <c r="N77" s="29">
        <f t="shared" ref="N77" si="76">H77</f>
        <v>34905</v>
      </c>
      <c r="O77" s="22">
        <v>0</v>
      </c>
      <c r="P77" s="22">
        <f t="shared" ref="P77" si="77">ROUNDDOWN(I77-SUM(J77:O77), 0)</f>
        <v>143496</v>
      </c>
      <c r="Q77" s="54"/>
      <c r="R77" s="49"/>
      <c r="S77" s="55">
        <v>150000</v>
      </c>
      <c r="T77" s="22">
        <f t="shared" si="41"/>
        <v>1500</v>
      </c>
      <c r="U77" s="22"/>
      <c r="V77" s="55">
        <v>148500</v>
      </c>
      <c r="W77" s="51" t="s">
        <v>74</v>
      </c>
      <c r="X77" s="51"/>
    </row>
    <row r="78" spans="1:24" x14ac:dyDescent="0.25">
      <c r="A78" s="92">
        <v>60929</v>
      </c>
      <c r="B78" s="20" t="s">
        <v>39</v>
      </c>
      <c r="C78" s="52"/>
      <c r="D78" s="50">
        <v>14</v>
      </c>
      <c r="E78" s="51">
        <f>H77</f>
        <v>34905</v>
      </c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>
        <f>E78</f>
        <v>34905</v>
      </c>
      <c r="Q78" s="54"/>
      <c r="R78" s="49"/>
      <c r="S78" s="55">
        <v>200000</v>
      </c>
      <c r="T78" s="80">
        <f>S78*1%</f>
        <v>2000</v>
      </c>
      <c r="U78" s="80"/>
      <c r="V78" s="55">
        <v>198000</v>
      </c>
      <c r="W78" s="51" t="s">
        <v>84</v>
      </c>
      <c r="X78" s="51"/>
    </row>
    <row r="79" spans="1:24" x14ac:dyDescent="0.25">
      <c r="A79" s="93"/>
      <c r="B79" s="33"/>
      <c r="C79" s="44"/>
      <c r="D79" s="30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56">
        <f>A80</f>
        <v>65505</v>
      </c>
      <c r="R79" s="57"/>
      <c r="S79" s="57"/>
      <c r="T79" s="57"/>
      <c r="U79" s="57"/>
      <c r="V79" s="58"/>
      <c r="W79" s="31"/>
      <c r="X79" s="31"/>
    </row>
    <row r="80" spans="1:24" x14ac:dyDescent="0.25">
      <c r="A80" s="92">
        <v>65505</v>
      </c>
      <c r="B80" s="22" t="s">
        <v>138</v>
      </c>
      <c r="C80" s="28">
        <v>45518</v>
      </c>
      <c r="D80" s="19">
        <v>4</v>
      </c>
      <c r="E80" s="22">
        <v>313251</v>
      </c>
      <c r="F80" s="22">
        <v>48439</v>
      </c>
      <c r="G80" s="22">
        <f t="shared" ref="G80" si="78">E80-F80</f>
        <v>264812</v>
      </c>
      <c r="H80" s="22">
        <f t="shared" ref="H80" si="79">ROUND(G80*18%,)</f>
        <v>47666</v>
      </c>
      <c r="I80" s="22">
        <f t="shared" ref="I80" si="80">ROUND(G80+H80,)</f>
        <v>312478</v>
      </c>
      <c r="J80" s="22">
        <f t="shared" ref="J80" si="81">G80*$J$6</f>
        <v>2648.12</v>
      </c>
      <c r="K80" s="22">
        <f t="shared" ref="K80" si="82">G80*5%</f>
        <v>13240.6</v>
      </c>
      <c r="L80" s="22">
        <f t="shared" ref="L80" si="83">G80*10%</f>
        <v>26481.200000000001</v>
      </c>
      <c r="M80" s="22">
        <f t="shared" ref="M80" si="84">G80*10%</f>
        <v>26481.200000000001</v>
      </c>
      <c r="N80" s="23">
        <f t="shared" ref="N80" si="85">H80</f>
        <v>47666</v>
      </c>
      <c r="O80" s="22">
        <v>23279</v>
      </c>
      <c r="P80" s="22">
        <f t="shared" ref="P80" si="86">ROUNDDOWN(I80-SUM(J80:O80), 0)</f>
        <v>172681</v>
      </c>
      <c r="Q80" s="45"/>
      <c r="R80" s="46">
        <v>81248</v>
      </c>
      <c r="S80" s="47">
        <v>170000</v>
      </c>
      <c r="T80" s="83">
        <f>S80*1%</f>
        <v>1700</v>
      </c>
      <c r="U80" s="83"/>
      <c r="V80" s="47">
        <v>168300</v>
      </c>
      <c r="W80" s="51" t="s">
        <v>64</v>
      </c>
      <c r="X80" s="22">
        <f>SUM(P80:P91,0)-SUM(V80:V91,0)</f>
        <v>-245072</v>
      </c>
    </row>
    <row r="81" spans="1:27" x14ac:dyDescent="0.25">
      <c r="A81" s="92">
        <v>65505</v>
      </c>
      <c r="B81" s="22" t="s">
        <v>12</v>
      </c>
      <c r="C81" s="52"/>
      <c r="D81" s="50">
        <v>4</v>
      </c>
      <c r="E81" s="51">
        <f>N80</f>
        <v>47666</v>
      </c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3">
        <f>E81</f>
        <v>47666</v>
      </c>
      <c r="Q81" s="54"/>
      <c r="R81" s="49"/>
      <c r="S81" s="55">
        <v>100000</v>
      </c>
      <c r="T81" s="83">
        <f t="shared" ref="T81:T91" si="87">S81*1%</f>
        <v>1000</v>
      </c>
      <c r="U81" s="83"/>
      <c r="V81" s="55">
        <v>99000</v>
      </c>
      <c r="W81" s="51" t="s">
        <v>66</v>
      </c>
      <c r="X81" s="51"/>
      <c r="Z81" s="15"/>
      <c r="AA81" s="15"/>
    </row>
    <row r="82" spans="1:27" x14ac:dyDescent="0.25">
      <c r="A82" s="92">
        <v>65505</v>
      </c>
      <c r="B82" s="22" t="s">
        <v>138</v>
      </c>
      <c r="C82" s="52">
        <v>45551</v>
      </c>
      <c r="D82" s="50">
        <v>6</v>
      </c>
      <c r="E82" s="51">
        <v>202811.5</v>
      </c>
      <c r="F82" s="51">
        <v>70456</v>
      </c>
      <c r="G82" s="22">
        <f t="shared" ref="G82" si="88">E82-F82</f>
        <v>132355.5</v>
      </c>
      <c r="H82" s="22">
        <f t="shared" ref="H82" si="89">ROUND(G82*18%,)</f>
        <v>23824</v>
      </c>
      <c r="I82" s="22">
        <f t="shared" ref="I82" si="90">ROUND(G82+H82,)</f>
        <v>156180</v>
      </c>
      <c r="J82" s="22">
        <f t="shared" ref="J82" si="91">G82*$J$6</f>
        <v>1323.5550000000001</v>
      </c>
      <c r="K82" s="22">
        <f t="shared" ref="K82" si="92">G82*5%</f>
        <v>6617.7750000000005</v>
      </c>
      <c r="L82" s="22">
        <f t="shared" ref="L82" si="93">G82*10%</f>
        <v>13235.550000000001</v>
      </c>
      <c r="M82" s="22">
        <f t="shared" ref="M82" si="94">G82*10%</f>
        <v>13235.550000000001</v>
      </c>
      <c r="N82" s="23">
        <f t="shared" ref="N82" si="95">H82</f>
        <v>23824</v>
      </c>
      <c r="O82" s="22">
        <f>301.67*50</f>
        <v>15083.5</v>
      </c>
      <c r="P82" s="22">
        <f t="shared" ref="P82" si="96">ROUNDDOWN(I82-SUM(J82:O82), 0)</f>
        <v>82860</v>
      </c>
      <c r="Q82" s="54"/>
      <c r="R82" s="49"/>
      <c r="S82" s="55">
        <v>150000</v>
      </c>
      <c r="T82" s="83">
        <f t="shared" si="87"/>
        <v>1500</v>
      </c>
      <c r="U82" s="83"/>
      <c r="V82" s="55">
        <v>148500</v>
      </c>
      <c r="W82" s="51" t="s">
        <v>73</v>
      </c>
      <c r="X82" s="51"/>
    </row>
    <row r="83" spans="1:27" x14ac:dyDescent="0.25">
      <c r="A83" s="92">
        <v>65505</v>
      </c>
      <c r="B83" s="22" t="s">
        <v>12</v>
      </c>
      <c r="C83" s="52"/>
      <c r="D83" s="50">
        <v>6</v>
      </c>
      <c r="E83" s="51">
        <f>N82</f>
        <v>23824</v>
      </c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3">
        <f>E83</f>
        <v>23824</v>
      </c>
      <c r="Q83" s="54"/>
      <c r="R83" s="49"/>
      <c r="S83" s="55">
        <v>150000</v>
      </c>
      <c r="T83" s="83">
        <f t="shared" si="87"/>
        <v>1500</v>
      </c>
      <c r="U83" s="83"/>
      <c r="V83" s="55">
        <v>148500</v>
      </c>
      <c r="W83" s="51" t="s">
        <v>78</v>
      </c>
      <c r="X83" s="51"/>
    </row>
    <row r="84" spans="1:27" x14ac:dyDescent="0.25">
      <c r="A84" s="92">
        <v>65505</v>
      </c>
      <c r="B84" s="22" t="s">
        <v>138</v>
      </c>
      <c r="C84" s="52">
        <v>45593</v>
      </c>
      <c r="D84" s="50">
        <v>9</v>
      </c>
      <c r="E84" s="51">
        <v>485910.1</v>
      </c>
      <c r="F84" s="51">
        <v>2.1</v>
      </c>
      <c r="G84" s="22">
        <f t="shared" ref="G84" si="97">E84-F84</f>
        <v>485908</v>
      </c>
      <c r="H84" s="22">
        <f t="shared" ref="H84" si="98">ROUND(G84*18%,)</f>
        <v>87463</v>
      </c>
      <c r="I84" s="22">
        <f t="shared" ref="I84" si="99">ROUND(G84+H84,)</f>
        <v>573371</v>
      </c>
      <c r="J84" s="22">
        <f t="shared" ref="J84" si="100">G84*$J$6</f>
        <v>4859.08</v>
      </c>
      <c r="K84" s="22">
        <f t="shared" ref="K84" si="101">G84*5%</f>
        <v>24295.4</v>
      </c>
      <c r="L84" s="22">
        <f t="shared" ref="L84" si="102">G84*10%</f>
        <v>48590.8</v>
      </c>
      <c r="M84" s="22">
        <f t="shared" ref="M84" si="103">G84*10%</f>
        <v>48590.8</v>
      </c>
      <c r="N84" s="23">
        <f t="shared" ref="N84" si="104">H84</f>
        <v>87463</v>
      </c>
      <c r="O84" s="22">
        <f>310.96*85+108.31*50</f>
        <v>31847.1</v>
      </c>
      <c r="P84" s="22">
        <f t="shared" ref="P84" si="105">ROUNDDOWN(I84-SUM(J84:O84), 0)</f>
        <v>327724</v>
      </c>
      <c r="Q84" s="54"/>
      <c r="R84" s="49"/>
      <c r="S84" s="55">
        <v>200000</v>
      </c>
      <c r="T84" s="83">
        <f t="shared" si="87"/>
        <v>2000</v>
      </c>
      <c r="U84" s="83"/>
      <c r="V84" s="55">
        <v>200000</v>
      </c>
      <c r="W84" s="51" t="s">
        <v>79</v>
      </c>
      <c r="X84" s="51"/>
    </row>
    <row r="85" spans="1:27" x14ac:dyDescent="0.25">
      <c r="A85" s="92">
        <v>65505</v>
      </c>
      <c r="B85" s="22" t="s">
        <v>12</v>
      </c>
      <c r="C85" s="52"/>
      <c r="D85" s="50">
        <v>9</v>
      </c>
      <c r="E85" s="51">
        <f>N84</f>
        <v>87463</v>
      </c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3">
        <f>E85</f>
        <v>87463</v>
      </c>
      <c r="Q85" s="54"/>
      <c r="R85" s="49"/>
      <c r="S85" s="55">
        <v>100000</v>
      </c>
      <c r="T85" s="83">
        <f t="shared" si="87"/>
        <v>1000</v>
      </c>
      <c r="U85" s="83"/>
      <c r="V85" s="55">
        <v>99000</v>
      </c>
      <c r="W85" s="51" t="s">
        <v>80</v>
      </c>
      <c r="X85" s="51"/>
    </row>
    <row r="86" spans="1:27" x14ac:dyDescent="0.25">
      <c r="A86" s="92">
        <v>65505</v>
      </c>
      <c r="B86" s="22" t="s">
        <v>138</v>
      </c>
      <c r="C86" s="52">
        <v>45652</v>
      </c>
      <c r="D86" s="50">
        <v>11</v>
      </c>
      <c r="E86" s="51">
        <v>302754</v>
      </c>
      <c r="F86" s="51">
        <v>35228</v>
      </c>
      <c r="G86" s="22">
        <f t="shared" ref="G86" si="106">E86-F86</f>
        <v>267526</v>
      </c>
      <c r="H86" s="22">
        <f t="shared" ref="H86" si="107">ROUND(G86*18%,)</f>
        <v>48155</v>
      </c>
      <c r="I86" s="22">
        <f t="shared" ref="I86" si="108">ROUND(G86+H86,)</f>
        <v>315681</v>
      </c>
      <c r="J86" s="22">
        <f t="shared" ref="J86" si="109">G86*$J$6</f>
        <v>2675.26</v>
      </c>
      <c r="K86" s="22">
        <f t="shared" ref="K86" si="110">G86*5%</f>
        <v>13376.300000000001</v>
      </c>
      <c r="L86" s="22">
        <f t="shared" ref="L86" si="111">G86*10%</f>
        <v>26752.600000000002</v>
      </c>
      <c r="M86" s="22">
        <f t="shared" ref="M86" si="112">G86*10%</f>
        <v>26752.600000000002</v>
      </c>
      <c r="N86" s="23">
        <f t="shared" ref="N86" si="113">H86</f>
        <v>48155</v>
      </c>
      <c r="O86" s="22">
        <v>173222</v>
      </c>
      <c r="P86" s="22">
        <f t="shared" ref="P86" si="114">ROUNDDOWN(I86-SUM(J86:O86), 0)</f>
        <v>24747</v>
      </c>
      <c r="Q86" s="54"/>
      <c r="R86" s="49"/>
      <c r="S86" s="55">
        <v>100000</v>
      </c>
      <c r="T86" s="83">
        <f t="shared" si="87"/>
        <v>1000</v>
      </c>
      <c r="U86" s="83"/>
      <c r="V86" s="55">
        <v>99000</v>
      </c>
      <c r="W86" s="51" t="s">
        <v>82</v>
      </c>
      <c r="X86" s="51"/>
    </row>
    <row r="87" spans="1:27" x14ac:dyDescent="0.25">
      <c r="A87" s="92">
        <v>65505</v>
      </c>
      <c r="B87" s="22" t="s">
        <v>12</v>
      </c>
      <c r="C87" s="52"/>
      <c r="D87" s="50">
        <v>11</v>
      </c>
      <c r="E87" s="51">
        <f>N86</f>
        <v>48155</v>
      </c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3">
        <f>E87</f>
        <v>48155</v>
      </c>
      <c r="Q87" s="54"/>
      <c r="R87" s="49"/>
      <c r="S87" s="55">
        <v>50000</v>
      </c>
      <c r="T87" s="83">
        <f t="shared" si="87"/>
        <v>500</v>
      </c>
      <c r="U87" s="83"/>
      <c r="V87" s="55">
        <v>49500</v>
      </c>
      <c r="W87" s="51" t="s">
        <v>86</v>
      </c>
      <c r="X87" s="51"/>
    </row>
    <row r="88" spans="1:27" x14ac:dyDescent="0.25">
      <c r="A88" s="92">
        <v>65505</v>
      </c>
      <c r="B88" s="22" t="s">
        <v>138</v>
      </c>
      <c r="C88" s="52">
        <v>45727</v>
      </c>
      <c r="D88" s="50">
        <v>16</v>
      </c>
      <c r="E88" s="51">
        <v>104500</v>
      </c>
      <c r="F88" s="51">
        <v>0</v>
      </c>
      <c r="G88" s="22">
        <f t="shared" ref="G88" si="115">E88-F88</f>
        <v>104500</v>
      </c>
      <c r="H88" s="22">
        <f t="shared" ref="H88" si="116">ROUND(G88*18%,)</f>
        <v>18810</v>
      </c>
      <c r="I88" s="22">
        <f t="shared" ref="I88" si="117">ROUND(G88+H88,)</f>
        <v>123310</v>
      </c>
      <c r="J88" s="22">
        <f t="shared" ref="J88" si="118">G88*$J$6</f>
        <v>1045</v>
      </c>
      <c r="K88" s="22">
        <f t="shared" ref="K88" si="119">G88*5%</f>
        <v>5225</v>
      </c>
      <c r="L88" s="22">
        <f t="shared" ref="L88" si="120">G88*10%</f>
        <v>10450</v>
      </c>
      <c r="M88" s="22">
        <f t="shared" ref="M88" si="121">G88*10%</f>
        <v>10450</v>
      </c>
      <c r="N88" s="23">
        <f t="shared" ref="N88" si="122">H88</f>
        <v>18810</v>
      </c>
      <c r="O88" s="22">
        <v>0</v>
      </c>
      <c r="P88" s="22">
        <f t="shared" ref="P88" si="123">ROUNDDOWN(I88-SUM(J88:O88), 0)</f>
        <v>77330</v>
      </c>
      <c r="Q88" s="54"/>
      <c r="R88" s="49"/>
      <c r="S88" s="55">
        <v>100000</v>
      </c>
      <c r="T88" s="83">
        <f t="shared" si="87"/>
        <v>1000</v>
      </c>
      <c r="U88" s="83"/>
      <c r="V88" s="55">
        <v>99000</v>
      </c>
      <c r="W88" s="51" t="s">
        <v>88</v>
      </c>
      <c r="X88" s="51"/>
    </row>
    <row r="89" spans="1:27" x14ac:dyDescent="0.25">
      <c r="A89" s="92">
        <v>65505</v>
      </c>
      <c r="B89" s="22" t="s">
        <v>138</v>
      </c>
      <c r="C89" s="52">
        <v>45741</v>
      </c>
      <c r="D89" s="50">
        <v>18</v>
      </c>
      <c r="E89" s="51">
        <v>407846</v>
      </c>
      <c r="F89" s="51">
        <v>0</v>
      </c>
      <c r="G89" s="22">
        <f t="shared" ref="G89" si="124">E89-F89</f>
        <v>407846</v>
      </c>
      <c r="H89" s="22">
        <f t="shared" ref="H89" si="125">ROUND(G89*18%,)</f>
        <v>73412</v>
      </c>
      <c r="I89" s="22">
        <f t="shared" ref="I89" si="126">ROUND(G89+H89,)</f>
        <v>481258</v>
      </c>
      <c r="J89" s="22">
        <f t="shared" ref="J89" si="127">G89*$J$6</f>
        <v>4078.46</v>
      </c>
      <c r="K89" s="22">
        <f t="shared" ref="K89" si="128">G89*5%</f>
        <v>20392.300000000003</v>
      </c>
      <c r="L89" s="22">
        <f t="shared" ref="L89" si="129">G89*10%</f>
        <v>40784.600000000006</v>
      </c>
      <c r="M89" s="22">
        <f t="shared" ref="M89" si="130">G89*10%</f>
        <v>40784.600000000006</v>
      </c>
      <c r="N89" s="23">
        <f t="shared" ref="N89" si="131">H89</f>
        <v>73412</v>
      </c>
      <c r="O89" s="22">
        <v>0</v>
      </c>
      <c r="P89" s="22">
        <f t="shared" ref="P89" si="132">ROUNDDOWN(I89-SUM(J89:O89), 0)</f>
        <v>301806</v>
      </c>
      <c r="Q89" s="59"/>
      <c r="R89" s="60"/>
      <c r="S89" s="55">
        <v>100000</v>
      </c>
      <c r="T89" s="83">
        <f t="shared" si="87"/>
        <v>1000</v>
      </c>
      <c r="U89" s="83"/>
      <c r="V89" s="55">
        <v>99000</v>
      </c>
      <c r="W89" s="51" t="s">
        <v>89</v>
      </c>
      <c r="X89" s="51"/>
    </row>
    <row r="90" spans="1:27" x14ac:dyDescent="0.25">
      <c r="A90" s="92">
        <v>65505</v>
      </c>
      <c r="B90" s="22" t="s">
        <v>12</v>
      </c>
      <c r="C90" s="52"/>
      <c r="D90" s="50" t="s">
        <v>91</v>
      </c>
      <c r="E90" s="51">
        <f>N89+N88</f>
        <v>92222</v>
      </c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3">
        <f>E90</f>
        <v>92222</v>
      </c>
      <c r="Q90" s="59"/>
      <c r="R90" s="60"/>
      <c r="S90" s="55">
        <v>1500000</v>
      </c>
      <c r="T90" s="83">
        <f t="shared" si="87"/>
        <v>15000</v>
      </c>
      <c r="U90" s="83"/>
      <c r="V90" s="55">
        <v>148500</v>
      </c>
      <c r="W90" s="51" t="s">
        <v>92</v>
      </c>
      <c r="X90" s="51"/>
    </row>
    <row r="91" spans="1:27" x14ac:dyDescent="0.25">
      <c r="A91" s="92">
        <v>65505</v>
      </c>
      <c r="B91" s="51"/>
      <c r="C91" s="52"/>
      <c r="D91" s="50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3"/>
      <c r="Q91" s="59"/>
      <c r="R91" s="60"/>
      <c r="S91" s="55">
        <v>170000</v>
      </c>
      <c r="T91" s="83">
        <f t="shared" si="87"/>
        <v>1700</v>
      </c>
      <c r="U91" s="83"/>
      <c r="V91" s="55">
        <v>173250</v>
      </c>
      <c r="W91" s="51" t="s">
        <v>93</v>
      </c>
      <c r="X91" s="51"/>
    </row>
    <row r="92" spans="1:27" x14ac:dyDescent="0.15">
      <c r="A92" s="92">
        <v>65505</v>
      </c>
      <c r="B92" s="51"/>
      <c r="C92" s="52"/>
      <c r="D92" s="50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3"/>
      <c r="Q92" s="59"/>
      <c r="R92" s="60"/>
      <c r="S92" s="81">
        <v>200000</v>
      </c>
      <c r="T92" s="84">
        <f>S92*1%</f>
        <v>2000</v>
      </c>
      <c r="U92" s="82"/>
      <c r="V92" s="81">
        <v>198000</v>
      </c>
      <c r="W92" s="85" t="s">
        <v>97</v>
      </c>
      <c r="X92" s="55"/>
    </row>
    <row r="93" spans="1:27" x14ac:dyDescent="0.15">
      <c r="A93" s="92">
        <v>65505</v>
      </c>
      <c r="B93" s="51"/>
      <c r="C93" s="52"/>
      <c r="D93" s="50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3"/>
      <c r="Q93" s="59"/>
      <c r="R93" s="60"/>
      <c r="S93" s="81">
        <v>100000</v>
      </c>
      <c r="T93" s="84">
        <f>S93*1%</f>
        <v>1000</v>
      </c>
      <c r="U93" s="82"/>
      <c r="V93" s="81">
        <v>99000</v>
      </c>
      <c r="W93" s="85" t="s">
        <v>98</v>
      </c>
      <c r="X93" s="55"/>
    </row>
    <row r="94" spans="1:27" x14ac:dyDescent="0.25">
      <c r="A94" s="92">
        <v>65505</v>
      </c>
      <c r="B94" s="51"/>
      <c r="C94" s="52"/>
      <c r="D94" s="50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3"/>
      <c r="Q94" s="59"/>
      <c r="R94" s="60"/>
      <c r="S94" s="81"/>
      <c r="T94" s="60"/>
      <c r="U94" s="60"/>
      <c r="V94" s="81"/>
      <c r="W94" s="83"/>
      <c r="X94" s="55"/>
    </row>
    <row r="95" spans="1:27" x14ac:dyDescent="0.25">
      <c r="A95" s="93"/>
      <c r="B95" s="33"/>
      <c r="C95" s="44"/>
      <c r="D95" s="30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56">
        <f>A96</f>
        <v>65606</v>
      </c>
      <c r="R95" s="57"/>
      <c r="S95" s="57"/>
      <c r="T95" s="57"/>
      <c r="U95" s="57"/>
      <c r="V95" s="58"/>
      <c r="W95" s="31"/>
      <c r="X95" s="31"/>
    </row>
    <row r="96" spans="1:27" x14ac:dyDescent="0.25">
      <c r="A96" s="95">
        <v>65606</v>
      </c>
      <c r="B96" s="51" t="s">
        <v>139</v>
      </c>
      <c r="C96" s="52">
        <v>45565</v>
      </c>
      <c r="D96" s="50">
        <v>7</v>
      </c>
      <c r="E96" s="51">
        <v>398656</v>
      </c>
      <c r="F96" s="51">
        <v>17614</v>
      </c>
      <c r="G96" s="22">
        <f t="shared" ref="G96" si="133">E96-F96</f>
        <v>381042</v>
      </c>
      <c r="H96" s="22">
        <f t="shared" ref="H96" si="134">ROUND(G96*18%,)</f>
        <v>68588</v>
      </c>
      <c r="I96" s="22">
        <f t="shared" ref="I96" si="135">ROUND(G96+H96,)</f>
        <v>449630</v>
      </c>
      <c r="J96" s="22">
        <f t="shared" ref="J96" si="136">G96*$J$6</f>
        <v>3810.42</v>
      </c>
      <c r="K96" s="22">
        <f t="shared" ref="K96" si="137">G96*5%</f>
        <v>19052.100000000002</v>
      </c>
      <c r="L96" s="22">
        <f t="shared" ref="L96" si="138">G96*10%</f>
        <v>38104.200000000004</v>
      </c>
      <c r="M96" s="22">
        <f t="shared" ref="M96" si="139">G96*10%</f>
        <v>38104.200000000004</v>
      </c>
      <c r="N96" s="23">
        <f t="shared" ref="N96" si="140">H96</f>
        <v>68588</v>
      </c>
      <c r="O96" s="22">
        <v>157533</v>
      </c>
      <c r="P96" s="22">
        <f>ROUNDDOWN(I96-SUM(J96:O96), 0)</f>
        <v>124438</v>
      </c>
      <c r="Q96" s="54"/>
      <c r="R96" s="49">
        <v>81248</v>
      </c>
      <c r="S96" s="55">
        <v>100000</v>
      </c>
      <c r="T96" s="83">
        <f t="shared" ref="T96:T109" si="141">S96*1%</f>
        <v>1000</v>
      </c>
      <c r="U96" s="80"/>
      <c r="V96" s="55">
        <v>99000</v>
      </c>
      <c r="W96" s="51" t="s">
        <v>67</v>
      </c>
      <c r="X96" s="51">
        <f>SUM(P96:P103,0)-SUM(V96:V103,0)</f>
        <v>-242767</v>
      </c>
      <c r="Z96" s="15"/>
      <c r="AA96" s="15"/>
    </row>
    <row r="97" spans="1:27" x14ac:dyDescent="0.25">
      <c r="A97" s="95">
        <v>65606</v>
      </c>
      <c r="B97" s="22" t="s">
        <v>12</v>
      </c>
      <c r="C97" s="52"/>
      <c r="D97" s="50">
        <v>7</v>
      </c>
      <c r="E97" s="51">
        <f>N96</f>
        <v>68588</v>
      </c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3">
        <f>E97</f>
        <v>68588</v>
      </c>
      <c r="Q97" s="54"/>
      <c r="R97" s="49"/>
      <c r="S97" s="55">
        <v>50000</v>
      </c>
      <c r="T97" s="83">
        <f t="shared" si="141"/>
        <v>500</v>
      </c>
      <c r="U97" s="49"/>
      <c r="V97" s="55">
        <v>49500</v>
      </c>
      <c r="W97" s="51" t="s">
        <v>68</v>
      </c>
      <c r="X97" s="51"/>
    </row>
    <row r="98" spans="1:27" x14ac:dyDescent="0.25">
      <c r="A98" s="95">
        <v>65606</v>
      </c>
      <c r="B98" s="51" t="s">
        <v>139</v>
      </c>
      <c r="C98" s="52">
        <v>45616</v>
      </c>
      <c r="D98" s="50">
        <v>10</v>
      </c>
      <c r="E98" s="51">
        <v>246456</v>
      </c>
      <c r="F98" s="51">
        <v>0</v>
      </c>
      <c r="G98" s="22">
        <f t="shared" ref="G98" si="142">E98-F98</f>
        <v>246456</v>
      </c>
      <c r="H98" s="22">
        <f t="shared" ref="H98" si="143">ROUND(G98*18%,)</f>
        <v>44362</v>
      </c>
      <c r="I98" s="22">
        <f t="shared" ref="I98" si="144">ROUND(G98+H98,)</f>
        <v>290818</v>
      </c>
      <c r="J98" s="22">
        <f t="shared" ref="J98" si="145">G98*$J$6</f>
        <v>2464.56</v>
      </c>
      <c r="K98" s="22">
        <f t="shared" ref="K98" si="146">G98*5%</f>
        <v>12322.800000000001</v>
      </c>
      <c r="L98" s="22">
        <f t="shared" ref="L98" si="147">G98*10%</f>
        <v>24645.600000000002</v>
      </c>
      <c r="M98" s="22">
        <f t="shared" ref="M98" si="148">G98*10%</f>
        <v>24645.600000000002</v>
      </c>
      <c r="N98" s="23">
        <f t="shared" ref="N98" si="149">H98</f>
        <v>44362</v>
      </c>
      <c r="O98" s="22">
        <v>6085</v>
      </c>
      <c r="P98" s="22">
        <f>ROUNDDOWN(I98-SUM(J98:O98), 0)</f>
        <v>176292</v>
      </c>
      <c r="Q98" s="61"/>
      <c r="R98" s="62"/>
      <c r="S98" s="55">
        <v>100000</v>
      </c>
      <c r="T98" s="83">
        <f t="shared" si="141"/>
        <v>1000</v>
      </c>
      <c r="U98" s="62"/>
      <c r="V98" s="55">
        <v>99000</v>
      </c>
      <c r="W98" s="51" t="s">
        <v>70</v>
      </c>
      <c r="X98" s="51"/>
      <c r="AA98" s="15"/>
    </row>
    <row r="99" spans="1:27" x14ac:dyDescent="0.25">
      <c r="A99" s="95">
        <v>65606</v>
      </c>
      <c r="B99" s="22" t="s">
        <v>12</v>
      </c>
      <c r="C99" s="52"/>
      <c r="D99" s="50">
        <v>10</v>
      </c>
      <c r="E99" s="51">
        <f>N98</f>
        <v>44362</v>
      </c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3">
        <f>E99</f>
        <v>44362</v>
      </c>
      <c r="Q99" s="54"/>
      <c r="R99" s="49"/>
      <c r="S99" s="55">
        <v>1500000</v>
      </c>
      <c r="T99" s="83">
        <f t="shared" si="141"/>
        <v>15000</v>
      </c>
      <c r="U99" s="49"/>
      <c r="V99" s="55">
        <v>148500</v>
      </c>
      <c r="W99" s="51" t="s">
        <v>71</v>
      </c>
      <c r="X99" s="51"/>
    </row>
    <row r="100" spans="1:27" x14ac:dyDescent="0.25">
      <c r="A100" s="95">
        <v>65606</v>
      </c>
      <c r="B100" s="51" t="s">
        <v>139</v>
      </c>
      <c r="C100" s="52">
        <v>45687</v>
      </c>
      <c r="D100" s="50">
        <v>13</v>
      </c>
      <c r="E100" s="51">
        <v>62307</v>
      </c>
      <c r="F100" s="51">
        <v>0</v>
      </c>
      <c r="G100" s="22">
        <f t="shared" ref="G100" si="150">E100-F100</f>
        <v>62307</v>
      </c>
      <c r="H100" s="22">
        <f t="shared" ref="H100" si="151">ROUND(G100*18%,)</f>
        <v>11215</v>
      </c>
      <c r="I100" s="22">
        <f t="shared" ref="I100" si="152">ROUND(G100+H100,)</f>
        <v>73522</v>
      </c>
      <c r="J100" s="22">
        <f t="shared" ref="J100" si="153">G100*$J$6</f>
        <v>623.07000000000005</v>
      </c>
      <c r="K100" s="22">
        <f t="shared" ref="K100" si="154">G100*5%</f>
        <v>3115.3500000000004</v>
      </c>
      <c r="L100" s="22">
        <f t="shared" ref="L100" si="155">G100*10%</f>
        <v>6230.7000000000007</v>
      </c>
      <c r="M100" s="22">
        <f t="shared" ref="M100" si="156">G100*10%</f>
        <v>6230.7000000000007</v>
      </c>
      <c r="N100" s="23">
        <f t="shared" ref="N100" si="157">H100</f>
        <v>11215</v>
      </c>
      <c r="O100" s="22">
        <v>41009</v>
      </c>
      <c r="P100" s="22">
        <f>ROUNDDOWN(I100-SUM(J100:O100), 0)</f>
        <v>5098</v>
      </c>
      <c r="Q100" s="54"/>
      <c r="R100" s="49"/>
      <c r="S100" s="55">
        <v>100000</v>
      </c>
      <c r="T100" s="83">
        <f t="shared" si="141"/>
        <v>1000</v>
      </c>
      <c r="U100" s="49"/>
      <c r="V100" s="55">
        <v>99000</v>
      </c>
      <c r="W100" s="51" t="s">
        <v>75</v>
      </c>
      <c r="X100" s="51"/>
    </row>
    <row r="101" spans="1:27" x14ac:dyDescent="0.25">
      <c r="A101" s="95">
        <v>65606</v>
      </c>
      <c r="B101" s="22" t="s">
        <v>12</v>
      </c>
      <c r="C101" s="52"/>
      <c r="D101" s="50">
        <v>13</v>
      </c>
      <c r="E101" s="51">
        <f>N100</f>
        <v>11215</v>
      </c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3">
        <f>E101</f>
        <v>11215</v>
      </c>
      <c r="Q101" s="54"/>
      <c r="R101" s="49"/>
      <c r="S101" s="55">
        <v>100000</v>
      </c>
      <c r="T101" s="83">
        <f t="shared" si="141"/>
        <v>1000</v>
      </c>
      <c r="U101" s="49"/>
      <c r="V101" s="55">
        <v>99000</v>
      </c>
      <c r="W101" s="51" t="s">
        <v>76</v>
      </c>
      <c r="X101" s="51"/>
    </row>
    <row r="102" spans="1:27" x14ac:dyDescent="0.25">
      <c r="A102" s="95">
        <v>65606</v>
      </c>
      <c r="B102" s="51" t="s">
        <v>139</v>
      </c>
      <c r="C102" s="52">
        <v>45698</v>
      </c>
      <c r="D102" s="50">
        <v>15</v>
      </c>
      <c r="E102" s="51">
        <v>22000</v>
      </c>
      <c r="F102" s="51">
        <v>0</v>
      </c>
      <c r="G102" s="22">
        <f t="shared" ref="G102" si="158">E102-F102</f>
        <v>22000</v>
      </c>
      <c r="H102" s="22">
        <f t="shared" ref="H102" si="159">ROUND(G102*18%,)</f>
        <v>3960</v>
      </c>
      <c r="I102" s="22">
        <f t="shared" ref="I102" si="160">ROUND(G102+H102,)</f>
        <v>25960</v>
      </c>
      <c r="J102" s="22">
        <f t="shared" ref="J102" si="161">G102*$J$6</f>
        <v>220</v>
      </c>
      <c r="K102" s="22">
        <f t="shared" ref="K102" si="162">G102*5%</f>
        <v>1100</v>
      </c>
      <c r="L102" s="22">
        <f t="shared" ref="L102" si="163">G102*10%</f>
        <v>2200</v>
      </c>
      <c r="M102" s="22">
        <f t="shared" ref="M102" si="164">G102*10%</f>
        <v>2200</v>
      </c>
      <c r="N102" s="23">
        <f t="shared" ref="N102" si="165">H102</f>
        <v>3960</v>
      </c>
      <c r="O102" s="22">
        <v>0</v>
      </c>
      <c r="P102" s="22">
        <f>ROUNDDOWN(I102-SUM(J102:O102), 0)</f>
        <v>16280</v>
      </c>
      <c r="Q102" s="54"/>
      <c r="R102" s="49"/>
      <c r="S102" s="55">
        <v>100000</v>
      </c>
      <c r="T102" s="83">
        <f t="shared" si="141"/>
        <v>1000</v>
      </c>
      <c r="U102" s="49"/>
      <c r="V102" s="55">
        <v>99000</v>
      </c>
      <c r="W102" s="51" t="s">
        <v>77</v>
      </c>
      <c r="X102" s="51"/>
    </row>
    <row r="103" spans="1:27" x14ac:dyDescent="0.15">
      <c r="A103" s="95">
        <v>65606</v>
      </c>
      <c r="B103" s="22" t="s">
        <v>12</v>
      </c>
      <c r="C103" s="52"/>
      <c r="D103" s="50">
        <v>15</v>
      </c>
      <c r="E103" s="51">
        <f>N102</f>
        <v>3960</v>
      </c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3">
        <f>E103</f>
        <v>3960</v>
      </c>
      <c r="Q103" s="54"/>
      <c r="R103" s="49"/>
      <c r="S103" s="49">
        <v>100000</v>
      </c>
      <c r="T103" s="83">
        <f t="shared" si="141"/>
        <v>1000</v>
      </c>
      <c r="U103" s="49"/>
      <c r="V103" s="55"/>
      <c r="W103" s="73" t="s">
        <v>99</v>
      </c>
      <c r="X103" s="51"/>
    </row>
    <row r="104" spans="1:27" x14ac:dyDescent="0.25">
      <c r="A104" s="93"/>
      <c r="B104" s="33"/>
      <c r="C104" s="44"/>
      <c r="D104" s="30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56">
        <f>A105</f>
        <v>67941</v>
      </c>
      <c r="R104" s="57"/>
      <c r="S104" s="57"/>
      <c r="T104" s="86"/>
      <c r="U104" s="57"/>
      <c r="V104" s="58"/>
      <c r="W104" s="31"/>
      <c r="X104" s="31"/>
    </row>
    <row r="105" spans="1:27" x14ac:dyDescent="0.25">
      <c r="A105" s="95">
        <v>67941</v>
      </c>
      <c r="B105" s="51" t="s">
        <v>140</v>
      </c>
      <c r="C105" s="52">
        <v>45696</v>
      </c>
      <c r="D105" s="50" t="s">
        <v>106</v>
      </c>
      <c r="E105" s="51">
        <v>248955</v>
      </c>
      <c r="F105" s="51">
        <v>35252</v>
      </c>
      <c r="G105" s="22">
        <f t="shared" ref="G105" si="166">E105-F105</f>
        <v>213703</v>
      </c>
      <c r="H105" s="22">
        <f t="shared" ref="H105" si="167">ROUND(G105*18%,)</f>
        <v>38467</v>
      </c>
      <c r="I105" s="22">
        <f t="shared" ref="I105" si="168">ROUND(G105+H105,)</f>
        <v>252170</v>
      </c>
      <c r="J105" s="22">
        <f t="shared" ref="J105" si="169">G105*$J$6</f>
        <v>2137.0300000000002</v>
      </c>
      <c r="K105" s="22">
        <f t="shared" ref="K105" si="170">G105*5%</f>
        <v>10685.150000000001</v>
      </c>
      <c r="L105" s="22">
        <f t="shared" ref="L105" si="171">G105*10%</f>
        <v>21370.300000000003</v>
      </c>
      <c r="M105" s="22">
        <f t="shared" ref="M105" si="172">G105*10%</f>
        <v>21370.300000000003</v>
      </c>
      <c r="N105" s="29">
        <f t="shared" ref="N105" si="173">H105</f>
        <v>38467</v>
      </c>
      <c r="O105" s="22">
        <v>189560</v>
      </c>
      <c r="P105" s="22">
        <f>ROUNDDOWN(I105-SUM(J105:O105), 0)</f>
        <v>-31419</v>
      </c>
      <c r="Q105" s="59"/>
      <c r="R105" s="87">
        <v>81248</v>
      </c>
      <c r="S105" s="55">
        <v>100000</v>
      </c>
      <c r="T105" s="83">
        <f t="shared" si="141"/>
        <v>1000</v>
      </c>
      <c r="U105" s="60"/>
      <c r="V105" s="55">
        <v>99000</v>
      </c>
      <c r="W105" s="51" t="s">
        <v>81</v>
      </c>
      <c r="X105" s="51">
        <f>SUM(P105:P108,0)-SUM(V105:V108,0)</f>
        <v>-331725</v>
      </c>
    </row>
    <row r="106" spans="1:27" x14ac:dyDescent="0.25">
      <c r="A106" s="95">
        <v>67941</v>
      </c>
      <c r="B106" s="51" t="s">
        <v>140</v>
      </c>
      <c r="C106" s="52">
        <v>45712</v>
      </c>
      <c r="D106" s="50" t="s">
        <v>107</v>
      </c>
      <c r="E106" s="51">
        <v>67742</v>
      </c>
      <c r="F106" s="51">
        <v>0</v>
      </c>
      <c r="G106" s="22">
        <f t="shared" ref="G106" si="174">E106-F106</f>
        <v>67742</v>
      </c>
      <c r="H106" s="22">
        <f t="shared" ref="H106" si="175">ROUND(G106*18%,)</f>
        <v>12194</v>
      </c>
      <c r="I106" s="22">
        <f t="shared" ref="I106" si="176">ROUND(G106+H106,)</f>
        <v>79936</v>
      </c>
      <c r="J106" s="22">
        <f t="shared" ref="J106" si="177">G106*$J$6</f>
        <v>677.42</v>
      </c>
      <c r="K106" s="22">
        <f t="shared" ref="K106" si="178">G106*5%</f>
        <v>3387.1000000000004</v>
      </c>
      <c r="L106" s="22">
        <f t="shared" ref="L106" si="179">G106*10%</f>
        <v>6774.2000000000007</v>
      </c>
      <c r="M106" s="22">
        <f t="shared" ref="M106" si="180">G106*10%</f>
        <v>6774.2000000000007</v>
      </c>
      <c r="N106" s="29">
        <f t="shared" ref="N106" si="181">H106</f>
        <v>12194</v>
      </c>
      <c r="O106" s="22">
        <v>29846</v>
      </c>
      <c r="P106" s="22">
        <f>ROUNDDOWN(I106-SUM(J106:O106), 0)</f>
        <v>20283</v>
      </c>
      <c r="Q106" s="59"/>
      <c r="R106" s="60"/>
      <c r="S106" s="55">
        <v>100000</v>
      </c>
      <c r="T106" s="83">
        <f t="shared" si="141"/>
        <v>1000</v>
      </c>
      <c r="U106" s="60"/>
      <c r="V106" s="55">
        <v>99000</v>
      </c>
      <c r="W106" s="51" t="s">
        <v>83</v>
      </c>
      <c r="X106" s="51"/>
    </row>
    <row r="107" spans="1:27" x14ac:dyDescent="0.25">
      <c r="A107" s="95">
        <v>67941</v>
      </c>
      <c r="B107" s="22" t="s">
        <v>12</v>
      </c>
      <c r="C107" s="52"/>
      <c r="D107" s="50" t="s">
        <v>87</v>
      </c>
      <c r="E107" s="51">
        <f>N106+N105</f>
        <v>50661</v>
      </c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3">
        <f>E107</f>
        <v>50661</v>
      </c>
      <c r="Q107" s="54"/>
      <c r="R107" s="49"/>
      <c r="S107" s="55">
        <v>100000</v>
      </c>
      <c r="T107" s="83">
        <f t="shared" si="141"/>
        <v>1000</v>
      </c>
      <c r="U107" s="49"/>
      <c r="V107" s="55">
        <v>99000</v>
      </c>
      <c r="W107" s="51" t="s">
        <v>85</v>
      </c>
      <c r="X107" s="51"/>
    </row>
    <row r="108" spans="1:27" x14ac:dyDescent="0.25">
      <c r="A108" s="95">
        <v>67941</v>
      </c>
      <c r="B108" s="51"/>
      <c r="C108" s="52"/>
      <c r="D108" s="50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4"/>
      <c r="R108" s="49"/>
      <c r="S108" s="55">
        <v>74250</v>
      </c>
      <c r="T108" s="83">
        <f t="shared" si="141"/>
        <v>742.5</v>
      </c>
      <c r="U108" s="49"/>
      <c r="V108" s="55">
        <v>74250</v>
      </c>
      <c r="W108" s="51" t="s">
        <v>90</v>
      </c>
      <c r="X108" s="51"/>
    </row>
    <row r="109" spans="1:27" x14ac:dyDescent="0.15">
      <c r="A109" s="95">
        <v>67941</v>
      </c>
      <c r="B109" s="51"/>
      <c r="C109" s="52"/>
      <c r="D109" s="50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4"/>
      <c r="R109" s="49"/>
      <c r="S109" s="81">
        <v>50000</v>
      </c>
      <c r="T109" s="83">
        <f t="shared" si="141"/>
        <v>500</v>
      </c>
      <c r="U109" s="49"/>
      <c r="V109" s="55">
        <v>49500</v>
      </c>
      <c r="W109" s="73" t="s">
        <v>100</v>
      </c>
      <c r="X109" s="51"/>
    </row>
    <row r="110" spans="1:27" x14ac:dyDescent="0.25">
      <c r="A110" s="95">
        <v>67941</v>
      </c>
      <c r="B110" s="51"/>
      <c r="C110" s="52"/>
      <c r="D110" s="50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4"/>
      <c r="R110" s="49"/>
      <c r="S110" s="81"/>
      <c r="T110" s="83"/>
      <c r="U110" s="49"/>
      <c r="V110" s="55"/>
      <c r="W110" s="51"/>
      <c r="X110" s="51"/>
    </row>
    <row r="111" spans="1:27" x14ac:dyDescent="0.25">
      <c r="A111" s="95">
        <v>67941</v>
      </c>
      <c r="B111" s="51"/>
      <c r="C111" s="52"/>
      <c r="D111" s="50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4"/>
      <c r="R111" s="49"/>
      <c r="S111" s="81"/>
      <c r="T111" s="83"/>
      <c r="U111" s="49"/>
      <c r="V111" s="55"/>
      <c r="W111" s="51"/>
      <c r="X111" s="51"/>
    </row>
    <row r="112" spans="1:27" x14ac:dyDescent="0.25">
      <c r="A112" s="93"/>
      <c r="B112" s="33"/>
      <c r="C112" s="44"/>
      <c r="D112" s="30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56">
        <f>A113</f>
        <v>69278</v>
      </c>
      <c r="R112" s="57"/>
      <c r="S112" s="57"/>
      <c r="T112" s="57"/>
      <c r="U112" s="57"/>
      <c r="V112" s="58"/>
      <c r="W112" s="31"/>
      <c r="X112" s="31"/>
    </row>
    <row r="113" spans="1:24" x14ac:dyDescent="0.25">
      <c r="A113" s="95">
        <v>69278</v>
      </c>
      <c r="B113" s="51" t="s">
        <v>141</v>
      </c>
      <c r="C113" s="52">
        <v>45775</v>
      </c>
      <c r="D113" s="50">
        <v>1</v>
      </c>
      <c r="E113" s="51">
        <v>389594</v>
      </c>
      <c r="F113" s="51"/>
      <c r="G113" s="22">
        <f t="shared" ref="G113:G114" si="182">E113-F113</f>
        <v>389594</v>
      </c>
      <c r="H113" s="22">
        <f t="shared" ref="H113:H114" si="183">ROUND(G113*18%,)</f>
        <v>70127</v>
      </c>
      <c r="I113" s="22">
        <f t="shared" ref="I113:I114" si="184">ROUND(G113+H113,)</f>
        <v>459721</v>
      </c>
      <c r="J113" s="22">
        <f t="shared" ref="J113:J114" si="185">G113*$J$6</f>
        <v>3895.94</v>
      </c>
      <c r="K113" s="22">
        <f t="shared" ref="K113:K114" si="186">G113*5%</f>
        <v>19479.7</v>
      </c>
      <c r="L113" s="22">
        <f t="shared" ref="L113:L114" si="187">G113*10%</f>
        <v>38959.4</v>
      </c>
      <c r="M113" s="22">
        <f t="shared" ref="M113:M114" si="188">G113*10%</f>
        <v>38959.4</v>
      </c>
      <c r="N113" s="29">
        <f t="shared" ref="N113:N114" si="189">H113</f>
        <v>70127</v>
      </c>
      <c r="O113" s="22">
        <v>5686.34</v>
      </c>
      <c r="P113" s="22">
        <f>ROUNDDOWN(I113-SUM(J113:O113), 0)</f>
        <v>282613</v>
      </c>
      <c r="Q113" s="59"/>
      <c r="R113" s="60"/>
      <c r="S113" s="55">
        <v>200000</v>
      </c>
      <c r="T113" s="83">
        <f t="shared" ref="T113:T117" si="190">S113*1%</f>
        <v>2000</v>
      </c>
      <c r="U113" s="60"/>
      <c r="V113" s="55">
        <v>198000</v>
      </c>
      <c r="W113" s="51" t="s">
        <v>94</v>
      </c>
      <c r="X113" s="51">
        <f>SUM(P113:P121,0)-SUM(V113:V121,0)</f>
        <v>-280016</v>
      </c>
    </row>
    <row r="114" spans="1:24" x14ac:dyDescent="0.15">
      <c r="A114" s="95">
        <v>69278</v>
      </c>
      <c r="B114" s="51" t="s">
        <v>141</v>
      </c>
      <c r="C114" s="52">
        <v>45791</v>
      </c>
      <c r="D114" s="50">
        <v>2</v>
      </c>
      <c r="E114" s="51">
        <v>135229</v>
      </c>
      <c r="F114" s="51"/>
      <c r="G114" s="22">
        <f t="shared" si="182"/>
        <v>135229</v>
      </c>
      <c r="H114" s="22">
        <f t="shared" si="183"/>
        <v>24341</v>
      </c>
      <c r="I114" s="22">
        <f t="shared" si="184"/>
        <v>159570</v>
      </c>
      <c r="J114" s="22">
        <f t="shared" si="185"/>
        <v>1352.29</v>
      </c>
      <c r="K114" s="22">
        <f t="shared" si="186"/>
        <v>6761.4500000000007</v>
      </c>
      <c r="L114" s="22">
        <f t="shared" si="187"/>
        <v>13522.900000000001</v>
      </c>
      <c r="M114" s="22">
        <f t="shared" si="188"/>
        <v>13522.900000000001</v>
      </c>
      <c r="N114" s="29">
        <f t="shared" si="189"/>
        <v>24341</v>
      </c>
      <c r="O114" s="22">
        <v>45</v>
      </c>
      <c r="P114" s="22">
        <f>ROUNDDOWN(I114-SUM(J114:O114), 0)</f>
        <v>100024</v>
      </c>
      <c r="Q114" s="59"/>
      <c r="R114" s="60"/>
      <c r="S114" s="55">
        <v>50000</v>
      </c>
      <c r="T114" s="83"/>
      <c r="U114" s="60"/>
      <c r="V114" s="55">
        <v>50000</v>
      </c>
      <c r="W114" s="73" t="s">
        <v>102</v>
      </c>
      <c r="X114" s="51"/>
    </row>
    <row r="115" spans="1:24" x14ac:dyDescent="0.15">
      <c r="A115" s="95">
        <v>69278</v>
      </c>
      <c r="B115" s="51" t="s">
        <v>101</v>
      </c>
      <c r="C115" s="52"/>
      <c r="D115" s="50">
        <v>1</v>
      </c>
      <c r="E115" s="51">
        <f>H113</f>
        <v>70127</v>
      </c>
      <c r="F115" s="51"/>
      <c r="G115" s="22"/>
      <c r="H115" s="22"/>
      <c r="I115" s="22"/>
      <c r="J115" s="22"/>
      <c r="K115" s="22"/>
      <c r="L115" s="22"/>
      <c r="M115" s="22"/>
      <c r="N115" s="29"/>
      <c r="O115" s="22"/>
      <c r="P115" s="22">
        <f>E115</f>
        <v>70127</v>
      </c>
      <c r="Q115" s="59"/>
      <c r="R115" s="60"/>
      <c r="S115" s="55">
        <v>300000</v>
      </c>
      <c r="T115" s="83">
        <f t="shared" si="190"/>
        <v>3000</v>
      </c>
      <c r="U115" s="82"/>
      <c r="V115" s="55">
        <v>297000</v>
      </c>
      <c r="W115" s="73" t="s">
        <v>103</v>
      </c>
      <c r="X115" s="51"/>
    </row>
    <row r="116" spans="1:24" x14ac:dyDescent="0.15">
      <c r="A116" s="95">
        <v>69278</v>
      </c>
      <c r="B116" s="51" t="s">
        <v>101</v>
      </c>
      <c r="C116" s="52"/>
      <c r="D116" s="50">
        <v>2</v>
      </c>
      <c r="E116" s="51">
        <f>H114</f>
        <v>24341</v>
      </c>
      <c r="F116" s="51"/>
      <c r="G116" s="22"/>
      <c r="H116" s="22"/>
      <c r="I116" s="22"/>
      <c r="J116" s="22"/>
      <c r="K116" s="22"/>
      <c r="L116" s="22"/>
      <c r="M116" s="22"/>
      <c r="N116" s="29"/>
      <c r="O116" s="22"/>
      <c r="P116" s="22">
        <f>E116</f>
        <v>24341</v>
      </c>
      <c r="Q116" s="59"/>
      <c r="R116" s="60"/>
      <c r="S116" s="55">
        <v>150000</v>
      </c>
      <c r="T116" s="83">
        <f t="shared" si="190"/>
        <v>1500</v>
      </c>
      <c r="U116" s="60"/>
      <c r="V116" s="55">
        <v>148500</v>
      </c>
      <c r="W116" s="73" t="s">
        <v>104</v>
      </c>
      <c r="X116" s="51"/>
    </row>
    <row r="117" spans="1:24" x14ac:dyDescent="0.15">
      <c r="A117" s="95">
        <v>69278</v>
      </c>
      <c r="B117" s="51" t="s">
        <v>141</v>
      </c>
      <c r="C117" s="52">
        <v>45714</v>
      </c>
      <c r="D117" s="50">
        <v>4</v>
      </c>
      <c r="E117" s="51">
        <v>239250</v>
      </c>
      <c r="F117" s="51">
        <v>175000</v>
      </c>
      <c r="G117" s="22">
        <f t="shared" ref="G117:G118" si="191">E117-F117</f>
        <v>64250</v>
      </c>
      <c r="H117" s="22">
        <f t="shared" ref="H117:H118" si="192">ROUND(G117*18%,)</f>
        <v>11565</v>
      </c>
      <c r="I117" s="22">
        <f t="shared" ref="I117:I118" si="193">ROUND(G117+H117,)</f>
        <v>75815</v>
      </c>
      <c r="J117" s="22">
        <f t="shared" ref="J117:J118" si="194">G117*$J$6</f>
        <v>642.5</v>
      </c>
      <c r="K117" s="22">
        <f t="shared" ref="K117:K118" si="195">G117*5%</f>
        <v>3212.5</v>
      </c>
      <c r="L117" s="22">
        <f t="shared" ref="L117:L118" si="196">G117*10%</f>
        <v>6425</v>
      </c>
      <c r="M117" s="22">
        <f t="shared" ref="M117:M118" si="197">G117*10%</f>
        <v>6425</v>
      </c>
      <c r="N117" s="29">
        <f t="shared" ref="N117:N118" si="198">H117</f>
        <v>11565</v>
      </c>
      <c r="O117" s="22">
        <v>45</v>
      </c>
      <c r="P117" s="22">
        <f>ROUNDDOWN(I117-SUM(J117:O117), 0)</f>
        <v>47500</v>
      </c>
      <c r="Q117" s="59"/>
      <c r="R117" s="60"/>
      <c r="S117" s="81">
        <v>150000</v>
      </c>
      <c r="T117" s="83">
        <f t="shared" si="190"/>
        <v>1500</v>
      </c>
      <c r="U117" s="60"/>
      <c r="V117" s="55">
        <v>148500</v>
      </c>
      <c r="W117" s="73" t="s">
        <v>105</v>
      </c>
      <c r="X117" s="51"/>
    </row>
    <row r="118" spans="1:24" x14ac:dyDescent="0.25">
      <c r="A118" s="95">
        <v>69278</v>
      </c>
      <c r="B118" s="51" t="s">
        <v>141</v>
      </c>
      <c r="C118" s="52">
        <v>45849</v>
      </c>
      <c r="D118" s="50">
        <v>6</v>
      </c>
      <c r="E118" s="51">
        <v>68200</v>
      </c>
      <c r="F118" s="51">
        <v>17626</v>
      </c>
      <c r="G118" s="22">
        <f t="shared" si="191"/>
        <v>50574</v>
      </c>
      <c r="H118" s="22">
        <f t="shared" si="192"/>
        <v>9103</v>
      </c>
      <c r="I118" s="22">
        <f t="shared" si="193"/>
        <v>59677</v>
      </c>
      <c r="J118" s="22">
        <f t="shared" si="194"/>
        <v>505.74</v>
      </c>
      <c r="K118" s="22">
        <f t="shared" si="195"/>
        <v>2528.7000000000003</v>
      </c>
      <c r="L118" s="22">
        <f t="shared" si="196"/>
        <v>5057.4000000000005</v>
      </c>
      <c r="M118" s="22">
        <f t="shared" si="197"/>
        <v>5057.4000000000005</v>
      </c>
      <c r="N118" s="29">
        <f t="shared" si="198"/>
        <v>9103</v>
      </c>
      <c r="O118" s="22">
        <v>45</v>
      </c>
      <c r="P118" s="22">
        <f>ROUNDDOWN(I118-SUM(J118:O118), 0)</f>
        <v>37379</v>
      </c>
      <c r="Q118" s="59"/>
      <c r="R118" s="60"/>
      <c r="S118" s="81"/>
      <c r="T118" s="83"/>
      <c r="U118" s="60"/>
      <c r="V118" s="55"/>
      <c r="W118" s="51"/>
      <c r="X118" s="51"/>
    </row>
    <row r="119" spans="1:24" x14ac:dyDescent="0.25">
      <c r="A119" s="95">
        <v>69278</v>
      </c>
      <c r="B119" s="51" t="s">
        <v>101</v>
      </c>
      <c r="C119" s="52"/>
      <c r="D119" s="50">
        <v>4</v>
      </c>
      <c r="E119" s="51"/>
      <c r="F119" s="51"/>
      <c r="G119" s="51"/>
      <c r="H119" s="51"/>
      <c r="I119" s="51"/>
      <c r="J119" s="51"/>
      <c r="K119" s="51"/>
      <c r="L119" s="51"/>
      <c r="M119" s="51"/>
      <c r="N119" s="88"/>
      <c r="O119" s="51"/>
      <c r="P119" s="51"/>
      <c r="Q119" s="59"/>
      <c r="R119" s="60"/>
      <c r="S119" s="60"/>
      <c r="T119" s="60"/>
      <c r="U119" s="60"/>
      <c r="V119" s="55"/>
      <c r="W119" s="51"/>
      <c r="X119" s="51"/>
    </row>
    <row r="120" spans="1:24" x14ac:dyDescent="0.25">
      <c r="A120" s="95">
        <v>69278</v>
      </c>
      <c r="B120" s="51" t="s">
        <v>101</v>
      </c>
      <c r="C120" s="52"/>
      <c r="D120" s="50">
        <v>6</v>
      </c>
      <c r="E120" s="51"/>
      <c r="F120" s="51"/>
      <c r="G120" s="51"/>
      <c r="H120" s="51"/>
      <c r="I120" s="51"/>
      <c r="J120" s="51"/>
      <c r="K120" s="51"/>
      <c r="L120" s="51"/>
      <c r="M120" s="51"/>
      <c r="N120" s="88"/>
      <c r="O120" s="51"/>
      <c r="P120" s="51"/>
      <c r="Q120" s="59"/>
      <c r="R120" s="60"/>
      <c r="S120" s="60"/>
      <c r="T120" s="60"/>
      <c r="U120" s="60"/>
      <c r="V120" s="55"/>
      <c r="W120" s="51"/>
      <c r="X120" s="51"/>
    </row>
    <row r="121" spans="1:24" x14ac:dyDescent="0.25">
      <c r="A121" s="95"/>
      <c r="B121" s="51"/>
      <c r="C121" s="52"/>
      <c r="D121" s="50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4"/>
      <c r="R121" s="49"/>
      <c r="S121" s="49"/>
      <c r="T121" s="49"/>
      <c r="U121" s="49"/>
      <c r="V121" s="55"/>
      <c r="W121" s="51"/>
      <c r="X121" s="51"/>
    </row>
    <row r="122" spans="1:24" x14ac:dyDescent="0.25">
      <c r="A122" s="93"/>
      <c r="B122" s="33"/>
      <c r="C122" s="44"/>
      <c r="D122" s="30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56">
        <f>A123</f>
        <v>70525</v>
      </c>
      <c r="R122" s="57"/>
      <c r="S122" s="57"/>
      <c r="T122" s="57"/>
      <c r="U122" s="57"/>
      <c r="V122" s="58"/>
      <c r="W122" s="31"/>
      <c r="X122" s="31"/>
    </row>
    <row r="123" spans="1:24" x14ac:dyDescent="0.25">
      <c r="A123" s="95">
        <v>70525</v>
      </c>
      <c r="B123" s="51" t="s">
        <v>142</v>
      </c>
      <c r="C123" s="52">
        <v>45850</v>
      </c>
      <c r="D123" s="50">
        <v>7</v>
      </c>
      <c r="E123" s="51">
        <v>55683</v>
      </c>
      <c r="F123" s="51">
        <v>52878</v>
      </c>
      <c r="G123" s="22">
        <f t="shared" ref="G123:G124" si="199">E123-F123</f>
        <v>2805</v>
      </c>
      <c r="H123" s="22">
        <f t="shared" ref="H123:H124" si="200">ROUND(G123*18%,)</f>
        <v>505</v>
      </c>
      <c r="I123" s="22">
        <f t="shared" ref="I123:I124" si="201">ROUND(G123+H123,)</f>
        <v>3310</v>
      </c>
      <c r="J123" s="22">
        <f t="shared" ref="J123:J124" si="202">G123*$J$6</f>
        <v>28.05</v>
      </c>
      <c r="K123" s="22">
        <f t="shared" ref="K123:K124" si="203">G123*5%</f>
        <v>140.25</v>
      </c>
      <c r="L123" s="22">
        <f t="shared" ref="L123:L124" si="204">G123*10%</f>
        <v>280.5</v>
      </c>
      <c r="M123" s="22">
        <f t="shared" ref="M123:M124" si="205">G123*10%</f>
        <v>280.5</v>
      </c>
      <c r="N123" s="29">
        <f t="shared" ref="N123:N124" si="206">H123</f>
        <v>505</v>
      </c>
      <c r="O123" s="22"/>
      <c r="P123" s="22">
        <f>ROUNDDOWN(I123-SUM(J123:O123), 0)</f>
        <v>2075</v>
      </c>
      <c r="Q123" s="59"/>
      <c r="R123" s="60"/>
      <c r="S123" s="55"/>
      <c r="T123" s="83"/>
      <c r="U123" s="60"/>
      <c r="V123" s="81"/>
      <c r="W123" s="83"/>
      <c r="X123" s="55">
        <f>SUM(P123:P127,0)-SUM(V123:V127,0)</f>
        <v>2075</v>
      </c>
    </row>
    <row r="124" spans="1:24" x14ac:dyDescent="0.15">
      <c r="A124" s="95">
        <v>70525</v>
      </c>
      <c r="B124" s="51"/>
      <c r="C124" s="52"/>
      <c r="D124" s="50"/>
      <c r="E124" s="51"/>
      <c r="F124" s="51"/>
      <c r="G124" s="22">
        <f t="shared" si="199"/>
        <v>0</v>
      </c>
      <c r="H124" s="22">
        <f t="shared" si="200"/>
        <v>0</v>
      </c>
      <c r="I124" s="22">
        <f t="shared" si="201"/>
        <v>0</v>
      </c>
      <c r="J124" s="22">
        <f t="shared" si="202"/>
        <v>0</v>
      </c>
      <c r="K124" s="22">
        <f t="shared" si="203"/>
        <v>0</v>
      </c>
      <c r="L124" s="22">
        <f t="shared" si="204"/>
        <v>0</v>
      </c>
      <c r="M124" s="22">
        <f t="shared" si="205"/>
        <v>0</v>
      </c>
      <c r="N124" s="29">
        <f t="shared" si="206"/>
        <v>0</v>
      </c>
      <c r="O124" s="22"/>
      <c r="P124" s="22">
        <f>ROUNDDOWN(I124-SUM(J124:O124), 0)</f>
        <v>0</v>
      </c>
      <c r="Q124" s="59"/>
      <c r="R124" s="60"/>
      <c r="S124" s="55"/>
      <c r="T124" s="83"/>
      <c r="U124" s="60"/>
      <c r="V124" s="81"/>
      <c r="W124" s="85"/>
      <c r="X124" s="55"/>
    </row>
    <row r="125" spans="1:24" x14ac:dyDescent="0.15">
      <c r="A125" s="95">
        <v>70525</v>
      </c>
      <c r="B125" s="51"/>
      <c r="C125" s="52"/>
      <c r="D125" s="50"/>
      <c r="E125" s="51"/>
      <c r="F125" s="51"/>
      <c r="G125" s="22">
        <f t="shared" ref="G125:G126" si="207">E125-F125</f>
        <v>0</v>
      </c>
      <c r="H125" s="22">
        <f t="shared" ref="H125:H126" si="208">ROUND(G125*18%,)</f>
        <v>0</v>
      </c>
      <c r="I125" s="22">
        <f t="shared" ref="I125:I126" si="209">ROUND(G125+H125,)</f>
        <v>0</v>
      </c>
      <c r="J125" s="22">
        <f t="shared" ref="J125:J126" si="210">G125*$J$6</f>
        <v>0</v>
      </c>
      <c r="K125" s="22">
        <f t="shared" ref="K125:K126" si="211">G125*5%</f>
        <v>0</v>
      </c>
      <c r="L125" s="22">
        <f t="shared" ref="L125:L126" si="212">G125*10%</f>
        <v>0</v>
      </c>
      <c r="M125" s="22">
        <f t="shared" ref="M125:M126" si="213">G125*10%</f>
        <v>0</v>
      </c>
      <c r="N125" s="29">
        <f t="shared" ref="N125:N126" si="214">H125</f>
        <v>0</v>
      </c>
      <c r="O125" s="22"/>
      <c r="P125" s="22">
        <f>ROUNDDOWN(I125-SUM(J125:O125), 0)</f>
        <v>0</v>
      </c>
      <c r="Q125" s="59"/>
      <c r="R125" s="60"/>
      <c r="S125" s="81"/>
      <c r="T125" s="83"/>
      <c r="U125" s="60"/>
      <c r="V125" s="81"/>
      <c r="W125" s="85"/>
      <c r="X125" s="55"/>
    </row>
    <row r="126" spans="1:24" x14ac:dyDescent="0.25">
      <c r="A126" s="95">
        <v>70525</v>
      </c>
      <c r="B126" s="51"/>
      <c r="C126" s="52"/>
      <c r="D126" s="50"/>
      <c r="E126" s="51"/>
      <c r="F126" s="51"/>
      <c r="G126" s="22">
        <f t="shared" si="207"/>
        <v>0</v>
      </c>
      <c r="H126" s="22">
        <f t="shared" si="208"/>
        <v>0</v>
      </c>
      <c r="I126" s="22">
        <f t="shared" si="209"/>
        <v>0</v>
      </c>
      <c r="J126" s="22">
        <f t="shared" si="210"/>
        <v>0</v>
      </c>
      <c r="K126" s="22">
        <f t="shared" si="211"/>
        <v>0</v>
      </c>
      <c r="L126" s="22">
        <f t="shared" si="212"/>
        <v>0</v>
      </c>
      <c r="M126" s="22">
        <f t="shared" si="213"/>
        <v>0</v>
      </c>
      <c r="N126" s="29">
        <f t="shared" si="214"/>
        <v>0</v>
      </c>
      <c r="O126" s="22"/>
      <c r="P126" s="22">
        <f>ROUNDDOWN(I126-SUM(J126:O126), 0)</f>
        <v>0</v>
      </c>
      <c r="Q126" s="59"/>
      <c r="R126" s="60"/>
      <c r="S126" s="81"/>
      <c r="T126" s="83"/>
      <c r="U126" s="60"/>
      <c r="V126" s="81"/>
      <c r="W126" s="83"/>
      <c r="X126" s="55"/>
    </row>
    <row r="127" spans="1:24" x14ac:dyDescent="0.25">
      <c r="A127" s="95">
        <v>70525</v>
      </c>
      <c r="B127" s="51"/>
      <c r="C127" s="52"/>
      <c r="D127" s="50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4"/>
      <c r="R127" s="49"/>
      <c r="S127" s="49"/>
      <c r="T127" s="49"/>
      <c r="U127" s="49"/>
      <c r="V127" s="81"/>
      <c r="W127" s="83"/>
      <c r="X127" s="55"/>
    </row>
    <row r="128" spans="1:24" x14ac:dyDescent="0.25">
      <c r="A128" s="93"/>
      <c r="B128" s="33"/>
      <c r="C128" s="44"/>
      <c r="D128" s="30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56">
        <f>A129</f>
        <v>70229</v>
      </c>
      <c r="R128" s="57"/>
      <c r="S128" s="57"/>
      <c r="T128" s="57"/>
      <c r="U128" s="57"/>
      <c r="V128" s="90"/>
      <c r="W128" s="91"/>
      <c r="X128" s="58"/>
    </row>
    <row r="129" spans="1:24" x14ac:dyDescent="0.15">
      <c r="A129" s="95">
        <v>70229</v>
      </c>
      <c r="B129" s="51" t="s">
        <v>143</v>
      </c>
      <c r="C129" s="52">
        <v>45838</v>
      </c>
      <c r="D129" s="50">
        <v>5</v>
      </c>
      <c r="E129" s="51">
        <v>164352.46</v>
      </c>
      <c r="F129" s="51">
        <v>17626</v>
      </c>
      <c r="G129" s="22">
        <f t="shared" ref="G129:G130" si="215">E129-F129</f>
        <v>146726.46</v>
      </c>
      <c r="H129" s="22">
        <f t="shared" ref="H129:H130" si="216">ROUND(G129*18%,)</f>
        <v>26411</v>
      </c>
      <c r="I129" s="22">
        <f t="shared" ref="I129:I130" si="217">ROUND(G129+H129,)</f>
        <v>173137</v>
      </c>
      <c r="J129" s="22">
        <f t="shared" ref="J129:J130" si="218">G129*$J$6</f>
        <v>1467.2646</v>
      </c>
      <c r="K129" s="22">
        <f t="shared" ref="K129:K130" si="219">G129*5%</f>
        <v>7336.3230000000003</v>
      </c>
      <c r="L129" s="22">
        <f t="shared" ref="L129:L130" si="220">G129*10%</f>
        <v>14672.646000000001</v>
      </c>
      <c r="M129" s="22">
        <f t="shared" ref="M129:M130" si="221">G129*10%</f>
        <v>14672.646000000001</v>
      </c>
      <c r="N129" s="29">
        <f t="shared" ref="N129:N130" si="222">H129</f>
        <v>26411</v>
      </c>
      <c r="O129" s="73">
        <v>65941</v>
      </c>
      <c r="P129" s="22">
        <f>ROUNDDOWN(I129-SUM(J129:O129), 0)</f>
        <v>42636</v>
      </c>
      <c r="Q129" s="59"/>
      <c r="R129" s="60"/>
      <c r="S129" s="55"/>
      <c r="T129" s="83"/>
      <c r="U129" s="60"/>
      <c r="V129" s="81"/>
      <c r="W129" s="83"/>
      <c r="X129" s="55">
        <f>SUM(P129:P134,0)-SUM(V129:V134,0)</f>
        <v>42636</v>
      </c>
    </row>
    <row r="130" spans="1:24" x14ac:dyDescent="0.15">
      <c r="A130" s="95">
        <v>70229</v>
      </c>
      <c r="B130" s="51"/>
      <c r="C130" s="52"/>
      <c r="D130" s="50"/>
      <c r="E130" s="51"/>
      <c r="F130" s="51"/>
      <c r="G130" s="22">
        <f t="shared" si="215"/>
        <v>0</v>
      </c>
      <c r="H130" s="22">
        <f t="shared" si="216"/>
        <v>0</v>
      </c>
      <c r="I130" s="22">
        <f t="shared" si="217"/>
        <v>0</v>
      </c>
      <c r="J130" s="22">
        <f t="shared" si="218"/>
        <v>0</v>
      </c>
      <c r="K130" s="22">
        <f t="shared" si="219"/>
        <v>0</v>
      </c>
      <c r="L130" s="22">
        <f t="shared" si="220"/>
        <v>0</v>
      </c>
      <c r="M130" s="22">
        <f t="shared" si="221"/>
        <v>0</v>
      </c>
      <c r="N130" s="29">
        <f t="shared" si="222"/>
        <v>0</v>
      </c>
      <c r="O130" s="22"/>
      <c r="P130" s="22">
        <f>ROUNDDOWN(I130-SUM(J130:O130), 0)</f>
        <v>0</v>
      </c>
      <c r="Q130" s="59"/>
      <c r="R130" s="60"/>
      <c r="S130" s="55"/>
      <c r="T130" s="83"/>
      <c r="U130" s="60"/>
      <c r="V130" s="81"/>
      <c r="W130" s="85"/>
      <c r="X130" s="55"/>
    </row>
    <row r="131" spans="1:24" x14ac:dyDescent="0.15">
      <c r="A131" s="95">
        <v>70229</v>
      </c>
      <c r="B131" s="51"/>
      <c r="C131" s="52"/>
      <c r="D131" s="50"/>
      <c r="E131" s="51"/>
      <c r="F131" s="51"/>
      <c r="G131" s="22">
        <f t="shared" ref="G131:G132" si="223">E131-F131</f>
        <v>0</v>
      </c>
      <c r="H131" s="22">
        <f t="shared" ref="H131:H132" si="224">ROUND(G131*18%,)</f>
        <v>0</v>
      </c>
      <c r="I131" s="22">
        <f t="shared" ref="I131:I132" si="225">ROUND(G131+H131,)</f>
        <v>0</v>
      </c>
      <c r="J131" s="22">
        <f t="shared" ref="J131:J132" si="226">G131*$J$6</f>
        <v>0</v>
      </c>
      <c r="K131" s="22">
        <f t="shared" ref="K131:K132" si="227">G131*5%</f>
        <v>0</v>
      </c>
      <c r="L131" s="22">
        <f t="shared" ref="L131:L132" si="228">G131*10%</f>
        <v>0</v>
      </c>
      <c r="M131" s="22">
        <f t="shared" ref="M131:M132" si="229">G131*10%</f>
        <v>0</v>
      </c>
      <c r="N131" s="29">
        <f t="shared" ref="N131:N132" si="230">H131</f>
        <v>0</v>
      </c>
      <c r="O131" s="22"/>
      <c r="P131" s="22">
        <f>ROUNDDOWN(I131-SUM(J131:O131), 0)</f>
        <v>0</v>
      </c>
      <c r="Q131" s="59"/>
      <c r="R131" s="60"/>
      <c r="S131" s="81"/>
      <c r="T131" s="83"/>
      <c r="U131" s="60"/>
      <c r="V131" s="81"/>
      <c r="W131" s="85"/>
      <c r="X131" s="55"/>
    </row>
    <row r="132" spans="1:24" x14ac:dyDescent="0.25">
      <c r="A132" s="95">
        <v>70229</v>
      </c>
      <c r="B132" s="51"/>
      <c r="C132" s="52"/>
      <c r="D132" s="50"/>
      <c r="E132" s="51"/>
      <c r="F132" s="51"/>
      <c r="G132" s="22">
        <f t="shared" si="223"/>
        <v>0</v>
      </c>
      <c r="H132" s="22">
        <f t="shared" si="224"/>
        <v>0</v>
      </c>
      <c r="I132" s="22">
        <f t="shared" si="225"/>
        <v>0</v>
      </c>
      <c r="J132" s="22">
        <f t="shared" si="226"/>
        <v>0</v>
      </c>
      <c r="K132" s="22">
        <f t="shared" si="227"/>
        <v>0</v>
      </c>
      <c r="L132" s="22">
        <f t="shared" si="228"/>
        <v>0</v>
      </c>
      <c r="M132" s="22">
        <f t="shared" si="229"/>
        <v>0</v>
      </c>
      <c r="N132" s="29">
        <f t="shared" si="230"/>
        <v>0</v>
      </c>
      <c r="O132" s="22"/>
      <c r="P132" s="22">
        <f>ROUNDDOWN(I132-SUM(J132:O132), 0)</f>
        <v>0</v>
      </c>
      <c r="Q132" s="59"/>
      <c r="R132" s="60"/>
      <c r="S132" s="81"/>
      <c r="T132" s="83"/>
      <c r="U132" s="60"/>
      <c r="V132" s="81"/>
      <c r="W132" s="83"/>
      <c r="X132" s="55"/>
    </row>
    <row r="133" spans="1:24" x14ac:dyDescent="0.25">
      <c r="A133" s="95">
        <v>70229</v>
      </c>
      <c r="B133" s="51"/>
      <c r="C133" s="52"/>
      <c r="D133" s="50"/>
      <c r="E133" s="51"/>
      <c r="F133" s="51"/>
      <c r="G133" s="51"/>
      <c r="H133" s="51"/>
      <c r="I133" s="51"/>
      <c r="J133" s="51"/>
      <c r="K133" s="51"/>
      <c r="L133" s="51"/>
      <c r="M133" s="51"/>
      <c r="N133" s="88"/>
      <c r="O133" s="51"/>
      <c r="P133" s="51"/>
      <c r="Q133" s="59"/>
      <c r="R133" s="60"/>
      <c r="S133" s="60"/>
      <c r="T133" s="60"/>
      <c r="U133" s="60"/>
      <c r="V133" s="81"/>
      <c r="W133" s="83"/>
      <c r="X133" s="55"/>
    </row>
    <row r="134" spans="1:24" x14ac:dyDescent="0.25">
      <c r="A134" s="95">
        <v>70229</v>
      </c>
      <c r="B134" s="51"/>
      <c r="C134" s="52"/>
      <c r="D134" s="50"/>
      <c r="E134" s="51"/>
      <c r="F134" s="51"/>
      <c r="G134" s="51"/>
      <c r="H134" s="51"/>
      <c r="I134" s="51"/>
      <c r="J134" s="51"/>
      <c r="K134" s="51"/>
      <c r="L134" s="51"/>
      <c r="M134" s="51"/>
      <c r="N134" s="88"/>
      <c r="O134" s="51"/>
      <c r="P134" s="51"/>
      <c r="Q134" s="59"/>
      <c r="R134" s="60"/>
      <c r="S134" s="60"/>
      <c r="T134" s="60"/>
      <c r="U134" s="60"/>
      <c r="V134" s="81"/>
      <c r="W134" s="83"/>
      <c r="X134" s="55"/>
    </row>
    <row r="135" spans="1:24" x14ac:dyDescent="0.25">
      <c r="A135" s="93"/>
      <c r="B135" s="33"/>
      <c r="C135" s="44"/>
      <c r="D135" s="30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56">
        <f>A136</f>
        <v>70228</v>
      </c>
      <c r="R135" s="57"/>
      <c r="S135" s="57"/>
      <c r="T135" s="57"/>
      <c r="U135" s="57"/>
      <c r="V135" s="90"/>
      <c r="W135" s="91"/>
      <c r="X135" s="58"/>
    </row>
    <row r="136" spans="1:24" x14ac:dyDescent="0.25">
      <c r="A136" s="95">
        <v>70228</v>
      </c>
      <c r="B136" s="51" t="s">
        <v>144</v>
      </c>
      <c r="C136" s="52"/>
      <c r="D136" s="50"/>
      <c r="E136" s="51"/>
      <c r="F136" s="51"/>
      <c r="G136" s="22">
        <f t="shared" ref="G136:G137" si="231">E136-F136</f>
        <v>0</v>
      </c>
      <c r="H136" s="22">
        <f t="shared" ref="H136:H137" si="232">ROUND(G136*18%,)</f>
        <v>0</v>
      </c>
      <c r="I136" s="22">
        <f t="shared" ref="I136:I137" si="233">ROUND(G136+H136,)</f>
        <v>0</v>
      </c>
      <c r="J136" s="22">
        <f t="shared" ref="J136:J137" si="234">G136*$J$6</f>
        <v>0</v>
      </c>
      <c r="K136" s="22">
        <f t="shared" ref="K136:K137" si="235">G136*5%</f>
        <v>0</v>
      </c>
      <c r="L136" s="22">
        <f t="shared" ref="L136:L137" si="236">G136*10%</f>
        <v>0</v>
      </c>
      <c r="M136" s="22">
        <f t="shared" ref="M136:M137" si="237">G136*10%</f>
        <v>0</v>
      </c>
      <c r="N136" s="29">
        <f t="shared" ref="N136:N137" si="238">H136</f>
        <v>0</v>
      </c>
      <c r="O136" s="22"/>
      <c r="P136" s="22">
        <f>ROUNDDOWN(I136-SUM(J136:O136), 0)</f>
        <v>0</v>
      </c>
      <c r="Q136" s="59"/>
      <c r="R136" s="87">
        <v>82013</v>
      </c>
      <c r="S136" s="55"/>
      <c r="T136" s="83"/>
      <c r="U136" s="60"/>
      <c r="V136" s="81"/>
      <c r="W136" s="83"/>
      <c r="X136" s="55">
        <f>SUM(P136:P141,0)-SUM(V136:V141,0)</f>
        <v>0</v>
      </c>
    </row>
    <row r="137" spans="1:24" x14ac:dyDescent="0.15">
      <c r="A137" s="95">
        <v>70228</v>
      </c>
      <c r="B137" s="51"/>
      <c r="C137" s="52"/>
      <c r="D137" s="50"/>
      <c r="E137" s="51"/>
      <c r="F137" s="51"/>
      <c r="G137" s="22">
        <f t="shared" si="231"/>
        <v>0</v>
      </c>
      <c r="H137" s="22">
        <f t="shared" si="232"/>
        <v>0</v>
      </c>
      <c r="I137" s="22">
        <f t="shared" si="233"/>
        <v>0</v>
      </c>
      <c r="J137" s="22">
        <f t="shared" si="234"/>
        <v>0</v>
      </c>
      <c r="K137" s="22">
        <f t="shared" si="235"/>
        <v>0</v>
      </c>
      <c r="L137" s="22">
        <f t="shared" si="236"/>
        <v>0</v>
      </c>
      <c r="M137" s="22">
        <f t="shared" si="237"/>
        <v>0</v>
      </c>
      <c r="N137" s="29">
        <f t="shared" si="238"/>
        <v>0</v>
      </c>
      <c r="O137" s="22"/>
      <c r="P137" s="22">
        <f>ROUNDDOWN(I137-SUM(J137:O137), 0)</f>
        <v>0</v>
      </c>
      <c r="Q137" s="59"/>
      <c r="R137" s="60"/>
      <c r="S137" s="55"/>
      <c r="T137" s="83"/>
      <c r="U137" s="60"/>
      <c r="V137" s="81"/>
      <c r="W137" s="85"/>
      <c r="X137" s="55"/>
    </row>
    <row r="138" spans="1:24" x14ac:dyDescent="0.15">
      <c r="A138" s="95">
        <v>70228</v>
      </c>
      <c r="B138" s="51"/>
      <c r="C138" s="52"/>
      <c r="D138" s="50"/>
      <c r="E138" s="51"/>
      <c r="F138" s="51"/>
      <c r="G138" s="22">
        <f t="shared" ref="G138:G139" si="239">E138-F138</f>
        <v>0</v>
      </c>
      <c r="H138" s="22">
        <f t="shared" ref="H138:H139" si="240">ROUND(G138*18%,)</f>
        <v>0</v>
      </c>
      <c r="I138" s="22">
        <f t="shared" ref="I138:I139" si="241">ROUND(G138+H138,)</f>
        <v>0</v>
      </c>
      <c r="J138" s="22">
        <f t="shared" ref="J138:J139" si="242">G138*$J$6</f>
        <v>0</v>
      </c>
      <c r="K138" s="22">
        <f t="shared" ref="K138:K139" si="243">G138*5%</f>
        <v>0</v>
      </c>
      <c r="L138" s="22">
        <f t="shared" ref="L138:L139" si="244">G138*10%</f>
        <v>0</v>
      </c>
      <c r="M138" s="22">
        <f t="shared" ref="M138:M139" si="245">G138*10%</f>
        <v>0</v>
      </c>
      <c r="N138" s="29">
        <f t="shared" ref="N138:N139" si="246">H138</f>
        <v>0</v>
      </c>
      <c r="O138" s="22"/>
      <c r="P138" s="22">
        <f>ROUNDDOWN(I138-SUM(J138:O138), 0)</f>
        <v>0</v>
      </c>
      <c r="Q138" s="59"/>
      <c r="R138" s="60"/>
      <c r="S138" s="81"/>
      <c r="T138" s="83"/>
      <c r="U138" s="60"/>
      <c r="V138" s="81"/>
      <c r="W138" s="85"/>
      <c r="X138" s="55"/>
    </row>
    <row r="139" spans="1:24" x14ac:dyDescent="0.25">
      <c r="A139" s="95">
        <v>70228</v>
      </c>
      <c r="B139" s="51"/>
      <c r="C139" s="52"/>
      <c r="D139" s="50"/>
      <c r="E139" s="51"/>
      <c r="F139" s="51"/>
      <c r="G139" s="22">
        <f t="shared" si="239"/>
        <v>0</v>
      </c>
      <c r="H139" s="22">
        <f t="shared" si="240"/>
        <v>0</v>
      </c>
      <c r="I139" s="22">
        <f t="shared" si="241"/>
        <v>0</v>
      </c>
      <c r="J139" s="22">
        <f t="shared" si="242"/>
        <v>0</v>
      </c>
      <c r="K139" s="22">
        <f t="shared" si="243"/>
        <v>0</v>
      </c>
      <c r="L139" s="22">
        <f t="shared" si="244"/>
        <v>0</v>
      </c>
      <c r="M139" s="22">
        <f t="shared" si="245"/>
        <v>0</v>
      </c>
      <c r="N139" s="29">
        <f t="shared" si="246"/>
        <v>0</v>
      </c>
      <c r="O139" s="22"/>
      <c r="P139" s="22">
        <f>ROUNDDOWN(I139-SUM(J139:O139), 0)</f>
        <v>0</v>
      </c>
      <c r="Q139" s="59"/>
      <c r="R139" s="60"/>
      <c r="S139" s="81"/>
      <c r="T139" s="83"/>
      <c r="U139" s="60"/>
      <c r="V139" s="81"/>
      <c r="W139" s="83"/>
      <c r="X139" s="55"/>
    </row>
    <row r="140" spans="1:24" x14ac:dyDescent="0.25">
      <c r="A140" s="95">
        <v>70228</v>
      </c>
      <c r="B140" s="51"/>
      <c r="C140" s="52"/>
      <c r="D140" s="50"/>
      <c r="E140" s="51"/>
      <c r="F140" s="51"/>
      <c r="G140" s="51"/>
      <c r="H140" s="51"/>
      <c r="I140" s="51"/>
      <c r="J140" s="51"/>
      <c r="K140" s="51"/>
      <c r="L140" s="51"/>
      <c r="M140" s="51"/>
      <c r="N140" s="88"/>
      <c r="O140" s="51"/>
      <c r="P140" s="51"/>
      <c r="Q140" s="59"/>
      <c r="R140" s="60"/>
      <c r="S140" s="60"/>
      <c r="T140" s="60"/>
      <c r="U140" s="60"/>
      <c r="V140" s="81"/>
      <c r="W140" s="83"/>
      <c r="X140" s="55"/>
    </row>
    <row r="141" spans="1:24" x14ac:dyDescent="0.25">
      <c r="A141" s="95">
        <v>70228</v>
      </c>
      <c r="B141" s="51"/>
      <c r="C141" s="52"/>
      <c r="D141" s="50"/>
      <c r="E141" s="51"/>
      <c r="F141" s="51"/>
      <c r="G141" s="51"/>
      <c r="H141" s="51"/>
      <c r="I141" s="51"/>
      <c r="J141" s="51"/>
      <c r="K141" s="51"/>
      <c r="L141" s="51"/>
      <c r="M141" s="51"/>
      <c r="N141" s="88"/>
      <c r="O141" s="51"/>
      <c r="P141" s="51"/>
      <c r="Q141" s="59"/>
      <c r="R141" s="60"/>
      <c r="S141" s="60"/>
      <c r="T141" s="60"/>
      <c r="U141" s="60"/>
      <c r="V141" s="55"/>
      <c r="W141" s="51"/>
      <c r="X141" s="51"/>
    </row>
    <row r="142" spans="1:24" x14ac:dyDescent="0.25">
      <c r="A142" s="93"/>
      <c r="B142" s="33"/>
      <c r="C142" s="44"/>
      <c r="D142" s="30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56">
        <f>A143</f>
        <v>70194</v>
      </c>
      <c r="R142" s="57"/>
      <c r="S142" s="57"/>
      <c r="T142" s="57"/>
      <c r="U142" s="57"/>
      <c r="V142" s="58"/>
      <c r="W142" s="31"/>
      <c r="X142" s="31"/>
    </row>
    <row r="143" spans="1:24" x14ac:dyDescent="0.25">
      <c r="A143" s="95">
        <v>70194</v>
      </c>
      <c r="B143" s="51" t="s">
        <v>145</v>
      </c>
      <c r="C143" s="52">
        <v>45806</v>
      </c>
      <c r="D143" s="50">
        <v>3</v>
      </c>
      <c r="E143" s="51">
        <v>680527.28</v>
      </c>
      <c r="F143" s="51">
        <v>1.28</v>
      </c>
      <c r="G143" s="22">
        <f t="shared" ref="G143" si="247">E143-F143</f>
        <v>680526</v>
      </c>
      <c r="H143" s="22">
        <f t="shared" ref="H143" si="248">ROUND(G143*18%,)</f>
        <v>122495</v>
      </c>
      <c r="I143" s="22">
        <f t="shared" ref="I143" si="249">ROUND(G143+H143,)</f>
        <v>803021</v>
      </c>
      <c r="J143" s="22">
        <f t="shared" ref="J143" si="250">G143*$J$6</f>
        <v>6805.26</v>
      </c>
      <c r="K143" s="22">
        <f t="shared" ref="K143" si="251">G143*5%</f>
        <v>34026.300000000003</v>
      </c>
      <c r="L143" s="22">
        <f t="shared" ref="L143" si="252">G143*10%</f>
        <v>68052.600000000006</v>
      </c>
      <c r="M143" s="22">
        <f t="shared" ref="M143" si="253">G143*10%</f>
        <v>68052.600000000006</v>
      </c>
      <c r="N143" s="29">
        <f t="shared" ref="N143" si="254">H143</f>
        <v>122495</v>
      </c>
      <c r="O143" s="22"/>
      <c r="P143" s="22">
        <f>ROUNDDOWN(I143-SUM(J143:O143), 0)</f>
        <v>503589</v>
      </c>
      <c r="Q143" s="59"/>
      <c r="R143" s="60"/>
      <c r="S143" s="55">
        <v>200000</v>
      </c>
      <c r="T143" s="83">
        <f t="shared" ref="T143:T147" si="255">S143*1%</f>
        <v>2000</v>
      </c>
      <c r="U143" s="60"/>
      <c r="V143" s="55">
        <v>198000</v>
      </c>
      <c r="W143" s="51" t="s">
        <v>94</v>
      </c>
      <c r="X143" s="51">
        <f>SUM(P143:P150,0)-SUM(V143:V150,0)</f>
        <v>-215916</v>
      </c>
    </row>
    <row r="144" spans="1:24" x14ac:dyDescent="0.15">
      <c r="A144" s="95">
        <v>70194</v>
      </c>
      <c r="B144" s="51" t="s">
        <v>101</v>
      </c>
      <c r="C144" s="52"/>
      <c r="D144" s="50">
        <v>3</v>
      </c>
      <c r="E144" s="51">
        <f>H143</f>
        <v>122495</v>
      </c>
      <c r="F144" s="51"/>
      <c r="G144" s="22"/>
      <c r="H144" s="22"/>
      <c r="I144" s="22"/>
      <c r="J144" s="22"/>
      <c r="K144" s="22"/>
      <c r="L144" s="22"/>
      <c r="M144" s="22"/>
      <c r="N144" s="29"/>
      <c r="O144" s="22"/>
      <c r="P144" s="22">
        <f>E144</f>
        <v>122495</v>
      </c>
      <c r="Q144" s="59"/>
      <c r="R144" s="60"/>
      <c r="S144" s="55">
        <v>50000</v>
      </c>
      <c r="T144" s="83"/>
      <c r="U144" s="60"/>
      <c r="V144" s="55">
        <v>50000</v>
      </c>
      <c r="W144" s="73" t="s">
        <v>102</v>
      </c>
      <c r="X144" s="51"/>
    </row>
    <row r="145" spans="1:24" x14ac:dyDescent="0.15">
      <c r="A145" s="95">
        <v>70194</v>
      </c>
      <c r="B145" s="51"/>
      <c r="C145" s="52"/>
      <c r="D145" s="50"/>
      <c r="E145" s="51"/>
      <c r="F145" s="51"/>
      <c r="G145" s="22">
        <f t="shared" ref="G145:G146" si="256">E145-F145</f>
        <v>0</v>
      </c>
      <c r="H145" s="22">
        <f t="shared" ref="H145:H146" si="257">ROUND(G145*18%,)</f>
        <v>0</v>
      </c>
      <c r="I145" s="22">
        <f t="shared" ref="I145:I146" si="258">ROUND(G145+H145,)</f>
        <v>0</v>
      </c>
      <c r="J145" s="22">
        <f t="shared" ref="J145:J146" si="259">G145*$J$6</f>
        <v>0</v>
      </c>
      <c r="K145" s="22">
        <f t="shared" ref="K145:K146" si="260">G145*5%</f>
        <v>0</v>
      </c>
      <c r="L145" s="22">
        <f t="shared" ref="L145:L146" si="261">G145*10%</f>
        <v>0</v>
      </c>
      <c r="M145" s="22">
        <f t="shared" ref="M145:M146" si="262">G145*10%</f>
        <v>0</v>
      </c>
      <c r="N145" s="29">
        <f t="shared" ref="N145:N146" si="263">H145</f>
        <v>0</v>
      </c>
      <c r="O145" s="22"/>
      <c r="P145" s="22">
        <f>ROUNDDOWN(I145-SUM(J145:O145), 0)</f>
        <v>0</v>
      </c>
      <c r="Q145" s="59"/>
      <c r="R145" s="60"/>
      <c r="S145" s="55">
        <v>300000</v>
      </c>
      <c r="T145" s="83">
        <f t="shared" si="255"/>
        <v>3000</v>
      </c>
      <c r="U145" s="82"/>
      <c r="V145" s="55">
        <v>297000</v>
      </c>
      <c r="W145" s="73" t="s">
        <v>103</v>
      </c>
      <c r="X145" s="51"/>
    </row>
    <row r="146" spans="1:24" x14ac:dyDescent="0.15">
      <c r="A146" s="95">
        <v>70194</v>
      </c>
      <c r="B146" s="51"/>
      <c r="C146" s="52"/>
      <c r="D146" s="50"/>
      <c r="E146" s="51"/>
      <c r="F146" s="51"/>
      <c r="G146" s="22">
        <f t="shared" si="256"/>
        <v>0</v>
      </c>
      <c r="H146" s="22">
        <f t="shared" si="257"/>
        <v>0</v>
      </c>
      <c r="I146" s="22">
        <f t="shared" si="258"/>
        <v>0</v>
      </c>
      <c r="J146" s="22">
        <f t="shared" si="259"/>
        <v>0</v>
      </c>
      <c r="K146" s="22">
        <f t="shared" si="260"/>
        <v>0</v>
      </c>
      <c r="L146" s="22">
        <f t="shared" si="261"/>
        <v>0</v>
      </c>
      <c r="M146" s="22">
        <f t="shared" si="262"/>
        <v>0</v>
      </c>
      <c r="N146" s="29">
        <f t="shared" si="263"/>
        <v>0</v>
      </c>
      <c r="O146" s="22"/>
      <c r="P146" s="22">
        <f>ROUNDDOWN(I146-SUM(J146:O146), 0)</f>
        <v>0</v>
      </c>
      <c r="Q146" s="59"/>
      <c r="R146" s="60"/>
      <c r="S146" s="55">
        <v>150000</v>
      </c>
      <c r="T146" s="83">
        <f t="shared" si="255"/>
        <v>1500</v>
      </c>
      <c r="U146" s="60"/>
      <c r="V146" s="55">
        <v>148500</v>
      </c>
      <c r="W146" s="73" t="s">
        <v>104</v>
      </c>
      <c r="X146" s="51"/>
    </row>
    <row r="147" spans="1:24" x14ac:dyDescent="0.15">
      <c r="A147" s="95">
        <v>70194</v>
      </c>
      <c r="B147" s="51"/>
      <c r="C147" s="52"/>
      <c r="D147" s="50"/>
      <c r="E147" s="51"/>
      <c r="F147" s="51"/>
      <c r="G147" s="22">
        <f t="shared" ref="G147" si="264">E147-F147</f>
        <v>0</v>
      </c>
      <c r="H147" s="22">
        <f t="shared" ref="H147" si="265">ROUND(G147*18%,)</f>
        <v>0</v>
      </c>
      <c r="I147" s="22">
        <f t="shared" ref="I147" si="266">ROUND(G147+H147,)</f>
        <v>0</v>
      </c>
      <c r="J147" s="22">
        <f t="shared" ref="J147" si="267">G147*$J$6</f>
        <v>0</v>
      </c>
      <c r="K147" s="22">
        <f t="shared" ref="K147" si="268">G147*5%</f>
        <v>0</v>
      </c>
      <c r="L147" s="22">
        <f t="shared" ref="L147" si="269">G147*10%</f>
        <v>0</v>
      </c>
      <c r="M147" s="22">
        <f t="shared" ref="M147" si="270">G147*10%</f>
        <v>0</v>
      </c>
      <c r="N147" s="29">
        <f t="shared" ref="N147" si="271">H147</f>
        <v>0</v>
      </c>
      <c r="O147" s="22"/>
      <c r="P147" s="22">
        <f>ROUNDDOWN(I147-SUM(J147:O147), 0)</f>
        <v>0</v>
      </c>
      <c r="Q147" s="59"/>
      <c r="R147" s="60"/>
      <c r="S147" s="81">
        <v>150000</v>
      </c>
      <c r="T147" s="83">
        <f t="shared" si="255"/>
        <v>1500</v>
      </c>
      <c r="U147" s="60"/>
      <c r="V147" s="55">
        <v>148500</v>
      </c>
      <c r="W147" s="73" t="s">
        <v>105</v>
      </c>
      <c r="X147" s="51"/>
    </row>
    <row r="148" spans="1:24" x14ac:dyDescent="0.25">
      <c r="A148" s="95">
        <v>70194</v>
      </c>
      <c r="B148" s="51"/>
      <c r="C148" s="52"/>
      <c r="D148" s="50"/>
      <c r="E148" s="51"/>
      <c r="F148" s="51"/>
      <c r="G148" s="22">
        <f t="shared" ref="G148" si="272">E148-F148</f>
        <v>0</v>
      </c>
      <c r="H148" s="22">
        <f t="shared" ref="H148" si="273">ROUND(G148*18%,)</f>
        <v>0</v>
      </c>
      <c r="I148" s="22">
        <f t="shared" ref="I148" si="274">ROUND(G148+H148,)</f>
        <v>0</v>
      </c>
      <c r="J148" s="22">
        <f t="shared" ref="J148" si="275">G148*$J$6</f>
        <v>0</v>
      </c>
      <c r="K148" s="22">
        <f t="shared" ref="K148" si="276">G148*5%</f>
        <v>0</v>
      </c>
      <c r="L148" s="22">
        <f t="shared" ref="L148" si="277">G148*10%</f>
        <v>0</v>
      </c>
      <c r="M148" s="22">
        <f t="shared" ref="M148" si="278">G148*10%</f>
        <v>0</v>
      </c>
      <c r="N148" s="29">
        <f t="shared" ref="N148" si="279">H148</f>
        <v>0</v>
      </c>
      <c r="O148" s="22"/>
      <c r="P148" s="22">
        <f>ROUNDDOWN(I148-SUM(J148:O148), 0)</f>
        <v>0</v>
      </c>
      <c r="Q148" s="59"/>
      <c r="R148" s="60"/>
      <c r="S148" s="81"/>
      <c r="T148" s="83"/>
      <c r="U148" s="60"/>
      <c r="V148" s="55"/>
      <c r="W148" s="51"/>
      <c r="X148" s="51"/>
    </row>
    <row r="149" spans="1:24" x14ac:dyDescent="0.25">
      <c r="A149" s="95">
        <v>70194</v>
      </c>
      <c r="B149" s="51"/>
      <c r="C149" s="52"/>
      <c r="D149" s="50"/>
      <c r="E149" s="51"/>
      <c r="F149" s="51"/>
      <c r="G149" s="51"/>
      <c r="H149" s="51"/>
      <c r="I149" s="51"/>
      <c r="J149" s="51"/>
      <c r="K149" s="51"/>
      <c r="L149" s="51"/>
      <c r="M149" s="51"/>
      <c r="N149" s="88"/>
      <c r="O149" s="51"/>
      <c r="P149" s="51"/>
      <c r="Q149" s="59"/>
      <c r="R149" s="60"/>
      <c r="S149" s="60"/>
      <c r="T149" s="60"/>
      <c r="U149" s="60"/>
      <c r="V149" s="55"/>
      <c r="W149" s="51"/>
      <c r="X149" s="51"/>
    </row>
    <row r="150" spans="1:24" ht="15.75" thickBot="1" x14ac:dyDescent="0.3">
      <c r="A150" s="50"/>
      <c r="B150" s="51"/>
      <c r="C150" s="52"/>
      <c r="D150" s="50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4"/>
      <c r="R150" s="49"/>
      <c r="S150" s="49"/>
      <c r="T150" s="49"/>
      <c r="U150" s="49"/>
      <c r="V150" s="55"/>
      <c r="W150" s="51"/>
      <c r="X150" s="51"/>
    </row>
    <row r="151" spans="1:24" x14ac:dyDescent="0.25">
      <c r="A151" s="63"/>
      <c r="B151" s="64"/>
      <c r="C151" s="64"/>
      <c r="D151" s="63"/>
      <c r="E151" s="64"/>
      <c r="F151" s="64"/>
      <c r="G151" s="64"/>
      <c r="H151" s="64"/>
      <c r="I151" s="65">
        <f>SUM(I8:I150)</f>
        <v>13671454</v>
      </c>
      <c r="J151" s="64"/>
      <c r="K151" s="65">
        <f t="shared" ref="K151:P151" si="280">SUM(K8:K150)</f>
        <v>559650.07600000012</v>
      </c>
      <c r="L151" s="65">
        <f t="shared" si="280"/>
        <v>1084032.102</v>
      </c>
      <c r="M151" s="65">
        <f t="shared" si="280"/>
        <v>1110131.2520000001</v>
      </c>
      <c r="N151" s="65">
        <f t="shared" si="280"/>
        <v>2014741</v>
      </c>
      <c r="O151" s="65">
        <f t="shared" si="280"/>
        <v>1584366.9400000002</v>
      </c>
      <c r="P151" s="65">
        <f t="shared" si="280"/>
        <v>8881672</v>
      </c>
      <c r="Q151" s="66"/>
      <c r="R151" s="67"/>
      <c r="S151" s="67"/>
      <c r="T151" s="67"/>
      <c r="U151" s="67"/>
      <c r="V151" s="65">
        <f>SUM(V8:V150)</f>
        <v>10904063</v>
      </c>
      <c r="W151" s="64"/>
      <c r="X151" s="65">
        <f>SUM(X8:X150)</f>
        <v>-2025891</v>
      </c>
    </row>
    <row r="152" spans="1:24" ht="24.75" thickBot="1" x14ac:dyDescent="0.3">
      <c r="A152" s="68"/>
      <c r="B152" s="68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89" t="s">
        <v>2</v>
      </c>
      <c r="N152" s="68"/>
      <c r="O152" s="68"/>
      <c r="P152" s="68"/>
      <c r="Q152" s="70"/>
      <c r="R152" s="70"/>
      <c r="S152" s="70"/>
      <c r="T152" s="70"/>
      <c r="U152" s="70"/>
      <c r="V152" s="69">
        <f>P151-V151</f>
        <v>-2022391</v>
      </c>
      <c r="W152" s="68"/>
      <c r="X152" s="69"/>
    </row>
    <row r="153" spans="1:24" x14ac:dyDescent="0.25">
      <c r="Q153" s="14"/>
      <c r="R153" s="16"/>
      <c r="S153" s="16"/>
      <c r="T153" s="16"/>
      <c r="U153" s="16"/>
    </row>
    <row r="154" spans="1:24" ht="15.75" thickBot="1" x14ac:dyDescent="0.3"/>
    <row r="155" spans="1:24" ht="19.5" thickBot="1" x14ac:dyDescent="0.3">
      <c r="J155" s="105" t="s">
        <v>60</v>
      </c>
      <c r="K155" s="106"/>
      <c r="L155" s="106"/>
      <c r="M155" s="107"/>
    </row>
    <row r="156" spans="1:24" ht="18.75" x14ac:dyDescent="0.25">
      <c r="J156" s="109">
        <v>45800</v>
      </c>
      <c r="K156" s="110"/>
      <c r="L156" s="110"/>
      <c r="M156" s="111"/>
    </row>
    <row r="157" spans="1:24" ht="18.75" x14ac:dyDescent="0.25">
      <c r="J157" s="114" t="s">
        <v>95</v>
      </c>
      <c r="K157" s="115"/>
      <c r="L157" s="116">
        <f>I151</f>
        <v>13671454</v>
      </c>
      <c r="M157" s="117"/>
    </row>
    <row r="158" spans="1:24" ht="18.75" x14ac:dyDescent="0.25">
      <c r="J158" s="114" t="s">
        <v>108</v>
      </c>
      <c r="K158" s="115"/>
      <c r="L158" s="116">
        <f>V152</f>
        <v>-2022391</v>
      </c>
      <c r="M158" s="117"/>
    </row>
    <row r="159" spans="1:24" ht="18.75" x14ac:dyDescent="0.25">
      <c r="J159" s="114" t="s">
        <v>109</v>
      </c>
      <c r="K159" s="115"/>
      <c r="L159" s="116">
        <f>V151</f>
        <v>10904063</v>
      </c>
      <c r="M159" s="117"/>
    </row>
    <row r="160" spans="1:24" ht="18.75" x14ac:dyDescent="0.25">
      <c r="J160" s="108" t="s">
        <v>50</v>
      </c>
      <c r="K160" s="108"/>
      <c r="L160" s="108">
        <f>K151+L151+M151</f>
        <v>2753813.43</v>
      </c>
      <c r="M160" s="108"/>
    </row>
    <row r="161" spans="10:13" ht="18.75" x14ac:dyDescent="0.25">
      <c r="J161" s="112" t="s">
        <v>65</v>
      </c>
      <c r="K161" s="113"/>
      <c r="L161" s="112">
        <f>O151</f>
        <v>1584366.9400000002</v>
      </c>
      <c r="M161" s="113"/>
    </row>
    <row r="162" spans="10:13" ht="18.75" x14ac:dyDescent="0.25">
      <c r="J162" s="112" t="s">
        <v>51</v>
      </c>
      <c r="K162" s="117"/>
      <c r="L162" s="112">
        <f>V152</f>
        <v>-2022391</v>
      </c>
      <c r="M162" s="113"/>
    </row>
    <row r="163" spans="10:13" ht="19.5" thickBot="1" x14ac:dyDescent="0.3">
      <c r="J163" s="118" t="s">
        <v>61</v>
      </c>
      <c r="K163" s="119"/>
      <c r="L163" s="118">
        <f>N151-P107-P101-P99-P97-P87-P85-P83-P81-P76-P74-P72-P70-P68-P65-P63-P62-P53-P51-P49-P48-P44-P42-P40-P39-P37-P32-P30-P26-P24-P22-P19-P17-P15-P13-P12-P9-P90-P29-P103</f>
        <v>302817</v>
      </c>
      <c r="M163" s="120"/>
    </row>
  </sheetData>
  <mergeCells count="16">
    <mergeCell ref="J162:K162"/>
    <mergeCell ref="L162:M162"/>
    <mergeCell ref="J163:K163"/>
    <mergeCell ref="L163:M163"/>
    <mergeCell ref="J155:M155"/>
    <mergeCell ref="J160:K160"/>
    <mergeCell ref="L160:M160"/>
    <mergeCell ref="J156:M156"/>
    <mergeCell ref="J161:K161"/>
    <mergeCell ref="L161:M161"/>
    <mergeCell ref="J157:K157"/>
    <mergeCell ref="J158:K158"/>
    <mergeCell ref="J159:K159"/>
    <mergeCell ref="L157:M157"/>
    <mergeCell ref="L158:M158"/>
    <mergeCell ref="L159:M159"/>
  </mergeCells>
  <phoneticPr fontId="5" type="noConversion"/>
  <conditionalFormatting sqref="W5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2025-07-31T06:29:34Z</dcterms:modified>
</cp:coreProperties>
</file>