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 defaultThemeVersion="124226"/>
  <xr:revisionPtr revIDLastSave="0" documentId="13_ncr:1_{49814B1A-68A9-4977-909A-3EB050C87B7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ombined" sheetId="1" r:id="rId1"/>
    <sheet name="New rate" sheetId="6" state="hidden" r:id="rId2"/>
  </sheets>
  <definedNames>
    <definedName name="_xlnm._FilterDatabase" localSheetId="0" hidden="1">combined!$P$1:$P$397</definedName>
    <definedName name="_xlnm.Print_Area" localSheetId="0">combined!$A$1:$V$385</definedName>
    <definedName name="_xlnm.Print_Titles" localSheetId="0">combined!$4:$4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0" i="1" l="1"/>
  <c r="O26" i="1"/>
  <c r="S384" i="1"/>
  <c r="V364" i="1"/>
  <c r="V357" i="1"/>
  <c r="V350" i="1"/>
  <c r="V345" i="1"/>
  <c r="V338" i="1"/>
  <c r="V332" i="1"/>
  <c r="V327" i="1"/>
  <c r="V322" i="1"/>
  <c r="V317" i="1"/>
  <c r="V313" i="1"/>
  <c r="V309" i="1"/>
  <c r="V304" i="1"/>
  <c r="V300" i="1"/>
  <c r="V295" i="1"/>
  <c r="V285" i="1"/>
  <c r="V279" i="1"/>
  <c r="V270" i="1"/>
  <c r="V263" i="1"/>
  <c r="V248" i="1"/>
  <c r="V239" i="1"/>
  <c r="V229" i="1"/>
  <c r="V216" i="1"/>
  <c r="V203" i="1"/>
  <c r="V193" i="1"/>
  <c r="V182" i="1"/>
  <c r="V170" i="1"/>
  <c r="V161" i="1"/>
  <c r="V146" i="1"/>
  <c r="V132" i="1"/>
  <c r="V118" i="1"/>
  <c r="V113" i="1"/>
  <c r="V99" i="1"/>
  <c r="V88" i="1"/>
  <c r="V72" i="1"/>
  <c r="V61" i="1"/>
  <c r="V48" i="1"/>
  <c r="V38" i="1"/>
  <c r="V17" i="1"/>
  <c r="V7" i="1"/>
  <c r="E17" i="1" l="1"/>
  <c r="O380" i="1"/>
  <c r="G379" i="1"/>
  <c r="K379" i="1" s="1"/>
  <c r="P378" i="1"/>
  <c r="O377" i="1"/>
  <c r="G376" i="1"/>
  <c r="K376" i="1" s="1"/>
  <c r="P375" i="1"/>
  <c r="G382" i="1"/>
  <c r="K382" i="1" s="1"/>
  <c r="O374" i="1"/>
  <c r="G373" i="1"/>
  <c r="K373" i="1" s="1"/>
  <c r="P381" i="1"/>
  <c r="P372" i="1"/>
  <c r="Q338" i="1"/>
  <c r="R338" i="1" s="1"/>
  <c r="Q327" i="1"/>
  <c r="R327" i="1" s="1"/>
  <c r="Q309" i="1"/>
  <c r="R113" i="1"/>
  <c r="R48" i="1"/>
  <c r="R26" i="1"/>
  <c r="G370" i="1"/>
  <c r="J370" i="1" s="1"/>
  <c r="P369" i="1"/>
  <c r="R322" i="1"/>
  <c r="G174" i="1"/>
  <c r="M174" i="1" s="1"/>
  <c r="J376" i="1" l="1"/>
  <c r="H379" i="1"/>
  <c r="I379" i="1" s="1"/>
  <c r="N379" i="1"/>
  <c r="J379" i="1"/>
  <c r="J382" i="1"/>
  <c r="H376" i="1"/>
  <c r="I376" i="1" s="1"/>
  <c r="N376" i="1"/>
  <c r="O376" i="1" s="1"/>
  <c r="H382" i="1"/>
  <c r="I382" i="1" s="1"/>
  <c r="H373" i="1"/>
  <c r="N373" i="1" s="1"/>
  <c r="J373" i="1"/>
  <c r="K370" i="1"/>
  <c r="H370" i="1"/>
  <c r="I370" i="1" s="1"/>
  <c r="K174" i="1"/>
  <c r="J174" i="1"/>
  <c r="H174" i="1"/>
  <c r="I174" i="1" s="1"/>
  <c r="L174" i="1"/>
  <c r="O379" i="1" l="1"/>
  <c r="I373" i="1"/>
  <c r="O373" i="1"/>
  <c r="N370" i="1"/>
  <c r="N174" i="1"/>
  <c r="O174" i="1" s="1"/>
  <c r="Q364" i="1"/>
  <c r="R364" i="1" s="1"/>
  <c r="O371" i="1" l="1"/>
  <c r="O370" i="1"/>
  <c r="F140" i="1"/>
  <c r="L177" i="1" l="1"/>
  <c r="G140" i="1"/>
  <c r="J140" i="1" s="1"/>
  <c r="R300" i="1"/>
  <c r="H140" i="1" l="1"/>
  <c r="I140" i="1" s="1"/>
  <c r="K140" i="1"/>
  <c r="L140" i="1"/>
  <c r="M140" i="1"/>
  <c r="N140" i="1"/>
  <c r="E141" i="1" s="1"/>
  <c r="O141" i="1" s="1"/>
  <c r="G364" i="1"/>
  <c r="H364" i="1" s="1"/>
  <c r="N364" i="1" s="1"/>
  <c r="E365" i="1" s="1"/>
  <c r="P363" i="1"/>
  <c r="Q317" i="1"/>
  <c r="R317" i="1" s="1"/>
  <c r="G317" i="1"/>
  <c r="H317" i="1" s="1"/>
  <c r="P316" i="1"/>
  <c r="O365" i="1" l="1"/>
  <c r="O140" i="1"/>
  <c r="I364" i="1"/>
  <c r="J364" i="1"/>
  <c r="K364" i="1"/>
  <c r="N317" i="1"/>
  <c r="E318" i="1" s="1"/>
  <c r="O318" i="1" s="1"/>
  <c r="I317" i="1"/>
  <c r="J317" i="1"/>
  <c r="K317" i="1"/>
  <c r="O364" i="1" l="1"/>
  <c r="O317" i="1"/>
  <c r="G322" i="1" l="1"/>
  <c r="H322" i="1" s="1"/>
  <c r="N322" i="1" s="1"/>
  <c r="E323" i="1" s="1"/>
  <c r="O323" i="1" s="1"/>
  <c r="P321" i="1"/>
  <c r="Q357" i="1"/>
  <c r="R357" i="1" s="1"/>
  <c r="G357" i="1"/>
  <c r="K357" i="1" s="1"/>
  <c r="P356" i="1"/>
  <c r="I322" i="1" l="1"/>
  <c r="J322" i="1"/>
  <c r="K322" i="1"/>
  <c r="H357" i="1"/>
  <c r="I357" i="1" s="1"/>
  <c r="J357" i="1"/>
  <c r="O322" i="1" l="1"/>
  <c r="N357" i="1"/>
  <c r="E358" i="1" s="1"/>
  <c r="O358" i="1" l="1"/>
  <c r="O357" i="1"/>
  <c r="Q345" i="1" l="1"/>
  <c r="R345" i="1" s="1"/>
  <c r="G345" i="1"/>
  <c r="K345" i="1" s="1"/>
  <c r="P344" i="1"/>
  <c r="G338" i="1"/>
  <c r="H338" i="1" s="1"/>
  <c r="P337" i="1"/>
  <c r="Q350" i="1"/>
  <c r="R350" i="1" s="1"/>
  <c r="G350" i="1"/>
  <c r="H350" i="1" s="1"/>
  <c r="N350" i="1" s="1"/>
  <c r="E351" i="1" s="1"/>
  <c r="P349" i="1"/>
  <c r="Q304" i="1"/>
  <c r="R304" i="1" s="1"/>
  <c r="P299" i="1"/>
  <c r="G304" i="1"/>
  <c r="Q279" i="1"/>
  <c r="E279" i="1"/>
  <c r="P303" i="1"/>
  <c r="Q332" i="1"/>
  <c r="R332" i="1" s="1"/>
  <c r="O351" i="1" l="1"/>
  <c r="G279" i="1"/>
  <c r="K279" i="1" s="1"/>
  <c r="J345" i="1"/>
  <c r="H345" i="1"/>
  <c r="I345" i="1" s="1"/>
  <c r="N338" i="1"/>
  <c r="E339" i="1" s="1"/>
  <c r="O339" i="1" s="1"/>
  <c r="I338" i="1"/>
  <c r="J338" i="1"/>
  <c r="K338" i="1"/>
  <c r="I350" i="1"/>
  <c r="J350" i="1"/>
  <c r="K350" i="1"/>
  <c r="K304" i="1"/>
  <c r="H304" i="1"/>
  <c r="N304" i="1" s="1"/>
  <c r="E305" i="1" s="1"/>
  <c r="O305" i="1" s="1"/>
  <c r="J304" i="1"/>
  <c r="H279" i="1"/>
  <c r="N279" i="1" s="1"/>
  <c r="E280" i="1" s="1"/>
  <c r="O280" i="1" s="1"/>
  <c r="G332" i="1"/>
  <c r="P331" i="1"/>
  <c r="J279" i="1" l="1"/>
  <c r="N345" i="1"/>
  <c r="E346" i="1" s="1"/>
  <c r="O338" i="1"/>
  <c r="O350" i="1"/>
  <c r="I304" i="1"/>
  <c r="O304" i="1" s="1"/>
  <c r="I279" i="1"/>
  <c r="O279" i="1" s="1"/>
  <c r="K332" i="1"/>
  <c r="H332" i="1"/>
  <c r="N332" i="1" s="1"/>
  <c r="E333" i="1" s="1"/>
  <c r="O333" i="1" s="1"/>
  <c r="J332" i="1"/>
  <c r="O346" i="1" l="1"/>
  <c r="O345" i="1"/>
  <c r="I332" i="1"/>
  <c r="O332" i="1" s="1"/>
  <c r="G113" i="1" l="1"/>
  <c r="K113" i="1" s="1"/>
  <c r="G327" i="1"/>
  <c r="H327" i="1" s="1"/>
  <c r="P326" i="1"/>
  <c r="N113" i="1" l="1"/>
  <c r="E114" i="1" s="1"/>
  <c r="O114" i="1" s="1"/>
  <c r="J113" i="1"/>
  <c r="H113" i="1"/>
  <c r="I113" i="1" s="1"/>
  <c r="N327" i="1"/>
  <c r="E328" i="1" s="1"/>
  <c r="I327" i="1"/>
  <c r="J327" i="1"/>
  <c r="K327" i="1"/>
  <c r="Q313" i="1"/>
  <c r="R313" i="1" s="1"/>
  <c r="R309" i="1" l="1"/>
  <c r="Q384" i="1"/>
  <c r="O113" i="1"/>
  <c r="O328" i="1"/>
  <c r="O327" i="1"/>
  <c r="G313" i="1"/>
  <c r="K313" i="1" s="1"/>
  <c r="P312" i="1"/>
  <c r="G309" i="1"/>
  <c r="K309" i="1" s="1"/>
  <c r="P308" i="1"/>
  <c r="R193" i="1"/>
  <c r="H313" i="1" l="1"/>
  <c r="I313" i="1" s="1"/>
  <c r="J313" i="1"/>
  <c r="J309" i="1"/>
  <c r="H309" i="1"/>
  <c r="N309" i="1" s="1"/>
  <c r="E310" i="1" s="1"/>
  <c r="O310" i="1" s="1"/>
  <c r="P192" i="1"/>
  <c r="P160" i="1"/>
  <c r="N313" i="1" l="1"/>
  <c r="E314" i="1" s="1"/>
  <c r="I309" i="1"/>
  <c r="O309" i="1" s="1"/>
  <c r="G300" i="1"/>
  <c r="K300" i="1" s="1"/>
  <c r="K50" i="1"/>
  <c r="J50" i="1"/>
  <c r="R7" i="1"/>
  <c r="O314" i="1" l="1"/>
  <c r="O313" i="1"/>
  <c r="J300" i="1"/>
  <c r="H300" i="1"/>
  <c r="N300" i="1" s="1"/>
  <c r="E301" i="1" s="1"/>
  <c r="O301" i="1" s="1"/>
  <c r="R203" i="1"/>
  <c r="R216" i="1"/>
  <c r="R229" i="1"/>
  <c r="R239" i="1"/>
  <c r="R248" i="1"/>
  <c r="R170" i="1"/>
  <c r="I300" i="1" l="1"/>
  <c r="O300" i="1" s="1"/>
  <c r="G43" i="1"/>
  <c r="H43" i="1" s="1"/>
  <c r="G94" i="1"/>
  <c r="G190" i="1"/>
  <c r="K94" i="1" l="1"/>
  <c r="H94" i="1"/>
  <c r="N94" i="1" s="1"/>
  <c r="E95" i="1" s="1"/>
  <c r="O95" i="1" s="1"/>
  <c r="J94" i="1"/>
  <c r="H190" i="1"/>
  <c r="N190" i="1" s="1"/>
  <c r="E191" i="1" s="1"/>
  <c r="O191" i="1" s="1"/>
  <c r="K190" i="1"/>
  <c r="J190" i="1"/>
  <c r="K43" i="1"/>
  <c r="J43" i="1"/>
  <c r="N43" i="1"/>
  <c r="E44" i="1" s="1"/>
  <c r="L94" i="1"/>
  <c r="L190" i="1"/>
  <c r="O44" i="1" l="1"/>
  <c r="I94" i="1"/>
  <c r="O94" i="1" s="1"/>
  <c r="I43" i="1"/>
  <c r="O43" i="1" s="1"/>
  <c r="I190" i="1"/>
  <c r="O190" i="1" s="1"/>
  <c r="G243" i="1" l="1"/>
  <c r="J243" i="1" s="1"/>
  <c r="G105" i="1"/>
  <c r="G235" i="1"/>
  <c r="G158" i="1"/>
  <c r="G32" i="1"/>
  <c r="H32" i="1" s="1"/>
  <c r="G67" i="1"/>
  <c r="H67" i="1" s="1"/>
  <c r="G267" i="1"/>
  <c r="J267" i="1" s="1"/>
  <c r="G176" i="1"/>
  <c r="K176" i="1" l="1"/>
  <c r="H176" i="1"/>
  <c r="N176" i="1" s="1"/>
  <c r="E177" i="1" s="1"/>
  <c r="O177" i="1" s="1"/>
  <c r="J176" i="1"/>
  <c r="K158" i="1"/>
  <c r="H158" i="1"/>
  <c r="N158" i="1" s="1"/>
  <c r="E159" i="1" s="1"/>
  <c r="O159" i="1" s="1"/>
  <c r="J158" i="1"/>
  <c r="K105" i="1"/>
  <c r="H105" i="1"/>
  <c r="N105" i="1" s="1"/>
  <c r="E106" i="1" s="1"/>
  <c r="O106" i="1" s="1"/>
  <c r="J105" i="1"/>
  <c r="K67" i="1"/>
  <c r="J67" i="1"/>
  <c r="K32" i="1"/>
  <c r="J32" i="1"/>
  <c r="N243" i="1"/>
  <c r="E244" i="1" s="1"/>
  <c r="O244" i="1" s="1"/>
  <c r="K243" i="1"/>
  <c r="H243" i="1"/>
  <c r="I243" i="1" s="1"/>
  <c r="L105" i="1"/>
  <c r="K235" i="1"/>
  <c r="H235" i="1"/>
  <c r="I235" i="1" s="1"/>
  <c r="N235" i="1"/>
  <c r="E236" i="1" s="1"/>
  <c r="O236" i="1" s="1"/>
  <c r="J235" i="1"/>
  <c r="N32" i="1"/>
  <c r="E33" i="1" s="1"/>
  <c r="O33" i="1" s="1"/>
  <c r="L32" i="1"/>
  <c r="L67" i="1"/>
  <c r="N67" i="1"/>
  <c r="E68" i="1" s="1"/>
  <c r="O68" i="1" s="1"/>
  <c r="H267" i="1"/>
  <c r="N267" i="1" s="1"/>
  <c r="E268" i="1" s="1"/>
  <c r="O268" i="1" s="1"/>
  <c r="K267" i="1"/>
  <c r="L176" i="1"/>
  <c r="O235" i="1" l="1"/>
  <c r="I267" i="1"/>
  <c r="O267" i="1" s="1"/>
  <c r="O243" i="1"/>
  <c r="I67" i="1"/>
  <c r="O67" i="1" s="1"/>
  <c r="I105" i="1"/>
  <c r="O105" i="1" s="1"/>
  <c r="I158" i="1"/>
  <c r="O158" i="1" s="1"/>
  <c r="I32" i="1"/>
  <c r="O32" i="1" s="1"/>
  <c r="I176" i="1"/>
  <c r="O176" i="1" s="1"/>
  <c r="G23" i="1" l="1"/>
  <c r="G124" i="1"/>
  <c r="N124" i="1" s="1"/>
  <c r="E125" i="1" s="1"/>
  <c r="O125" i="1" s="1"/>
  <c r="G220" i="1"/>
  <c r="G78" i="1"/>
  <c r="H78" i="1" s="1"/>
  <c r="K78" i="1" l="1"/>
  <c r="J78" i="1"/>
  <c r="J23" i="1"/>
  <c r="H23" i="1"/>
  <c r="N23" i="1" s="1"/>
  <c r="E24" i="1" s="1"/>
  <c r="O24" i="1" s="1"/>
  <c r="K23" i="1"/>
  <c r="K124" i="1"/>
  <c r="J124" i="1"/>
  <c r="L23" i="1"/>
  <c r="H124" i="1"/>
  <c r="I124" i="1" s="1"/>
  <c r="K220" i="1"/>
  <c r="J220" i="1"/>
  <c r="H220" i="1"/>
  <c r="I220" i="1" s="1"/>
  <c r="N220" i="1"/>
  <c r="E221" i="1" s="1"/>
  <c r="O221" i="1" s="1"/>
  <c r="N78" i="1"/>
  <c r="E79" i="1" s="1"/>
  <c r="O79" i="1" s="1"/>
  <c r="L78" i="1"/>
  <c r="O124" i="1" l="1"/>
  <c r="O220" i="1"/>
  <c r="I23" i="1"/>
  <c r="O23" i="1" s="1"/>
  <c r="I78" i="1"/>
  <c r="O78" i="1" s="1"/>
  <c r="G56" i="1" l="1"/>
  <c r="H56" i="1" s="1"/>
  <c r="G272" i="1"/>
  <c r="G250" i="1"/>
  <c r="J250" i="1" s="1"/>
  <c r="G205" i="1"/>
  <c r="J205" i="1" s="1"/>
  <c r="G295" i="1"/>
  <c r="R132" i="1"/>
  <c r="R118" i="1"/>
  <c r="K56" i="1" l="1"/>
  <c r="J56" i="1"/>
  <c r="L56" i="1"/>
  <c r="N56" i="1"/>
  <c r="E57" i="1" s="1"/>
  <c r="O57" i="1" s="1"/>
  <c r="K272" i="1"/>
  <c r="H272" i="1"/>
  <c r="N272" i="1" s="1"/>
  <c r="E273" i="1" s="1"/>
  <c r="O273" i="1" s="1"/>
  <c r="J272" i="1"/>
  <c r="N250" i="1"/>
  <c r="E251" i="1" s="1"/>
  <c r="O251" i="1" s="1"/>
  <c r="K250" i="1"/>
  <c r="H250" i="1"/>
  <c r="I250" i="1" s="1"/>
  <c r="K205" i="1"/>
  <c r="H205" i="1"/>
  <c r="N205" i="1" s="1"/>
  <c r="E206" i="1" s="1"/>
  <c r="O206" i="1" s="1"/>
  <c r="K295" i="1"/>
  <c r="H295" i="1"/>
  <c r="N295" i="1" s="1"/>
  <c r="E296" i="1" s="1"/>
  <c r="J295" i="1"/>
  <c r="R38" i="1"/>
  <c r="O296" i="1" l="1"/>
  <c r="O250" i="1"/>
  <c r="I56" i="1"/>
  <c r="O56" i="1" s="1"/>
  <c r="I272" i="1"/>
  <c r="O272" i="1" s="1"/>
  <c r="I205" i="1"/>
  <c r="O205" i="1" s="1"/>
  <c r="I295" i="1"/>
  <c r="O295" i="1" s="1"/>
  <c r="R17" i="1"/>
  <c r="R72" i="1"/>
  <c r="R88" i="1"/>
  <c r="R99" i="1" l="1"/>
  <c r="R61" i="1" l="1"/>
  <c r="R270" i="1" l="1"/>
  <c r="R295" i="1" l="1"/>
  <c r="R285" i="1"/>
  <c r="R279" i="1"/>
  <c r="R263" i="1"/>
  <c r="R182" i="1"/>
  <c r="R161" i="1"/>
  <c r="R146" i="1"/>
  <c r="R384" i="1" l="1"/>
  <c r="A194" i="1"/>
  <c r="G265" i="1" l="1"/>
  <c r="G241" i="1"/>
  <c r="N241" i="1" s="1"/>
  <c r="E242" i="1" s="1"/>
  <c r="O242" i="1" s="1"/>
  <c r="G232" i="1"/>
  <c r="G218" i="1"/>
  <c r="J218" i="1" s="1"/>
  <c r="G188" i="1"/>
  <c r="E175" i="1"/>
  <c r="O175" i="1" s="1"/>
  <c r="G167" i="1"/>
  <c r="G154" i="1"/>
  <c r="G122" i="1"/>
  <c r="N122" i="1" s="1"/>
  <c r="E123" i="1" s="1"/>
  <c r="O123" i="1" s="1"/>
  <c r="G54" i="1"/>
  <c r="H54" i="1" s="1"/>
  <c r="L167" i="1" l="1"/>
  <c r="K167" i="1"/>
  <c r="H167" i="1"/>
  <c r="N167" i="1" s="1"/>
  <c r="J167" i="1"/>
  <c r="M154" i="1"/>
  <c r="H154" i="1"/>
  <c r="K154" i="1"/>
  <c r="J154" i="1"/>
  <c r="L188" i="1"/>
  <c r="K188" i="1"/>
  <c r="H188" i="1"/>
  <c r="N188" i="1" s="1"/>
  <c r="J188" i="1"/>
  <c r="K54" i="1"/>
  <c r="J54" i="1"/>
  <c r="N154" i="1"/>
  <c r="E155" i="1" s="1"/>
  <c r="O155" i="1" s="1"/>
  <c r="K218" i="1"/>
  <c r="N218" i="1"/>
  <c r="E219" i="1" s="1"/>
  <c r="O219" i="1" s="1"/>
  <c r="H265" i="1"/>
  <c r="N265" i="1" s="1"/>
  <c r="J265" i="1"/>
  <c r="K265" i="1"/>
  <c r="H241" i="1"/>
  <c r="I241" i="1" s="1"/>
  <c r="J241" i="1"/>
  <c r="K241" i="1"/>
  <c r="H232" i="1"/>
  <c r="I232" i="1" s="1"/>
  <c r="J232" i="1"/>
  <c r="K232" i="1"/>
  <c r="N232" i="1"/>
  <c r="E233" i="1" s="1"/>
  <c r="O233" i="1" s="1"/>
  <c r="H218" i="1"/>
  <c r="I218" i="1" s="1"/>
  <c r="H122" i="1"/>
  <c r="I122" i="1" s="1"/>
  <c r="J122" i="1"/>
  <c r="K122" i="1"/>
  <c r="N54" i="1"/>
  <c r="E55" i="1" s="1"/>
  <c r="L54" i="1"/>
  <c r="E173" i="1"/>
  <c r="O173" i="1" s="1"/>
  <c r="O104" i="1"/>
  <c r="O14" i="1"/>
  <c r="O55" i="1" l="1"/>
  <c r="E168" i="1"/>
  <c r="O168" i="1" s="1"/>
  <c r="E189" i="1"/>
  <c r="O189" i="1" s="1"/>
  <c r="I154" i="1"/>
  <c r="O154" i="1" s="1"/>
  <c r="O218" i="1"/>
  <c r="E266" i="1"/>
  <c r="O266" i="1" s="1"/>
  <c r="O232" i="1"/>
  <c r="I54" i="1"/>
  <c r="O54" i="1" s="1"/>
  <c r="I167" i="1"/>
  <c r="O167" i="1" s="1"/>
  <c r="I265" i="1"/>
  <c r="O265" i="1" s="1"/>
  <c r="O241" i="1"/>
  <c r="I188" i="1"/>
  <c r="O188" i="1" s="1"/>
  <c r="O122" i="1"/>
  <c r="T232" i="1"/>
  <c r="T251" i="1"/>
  <c r="F163" i="1"/>
  <c r="E163" i="1"/>
  <c r="O137" i="1"/>
  <c r="O135" i="1"/>
  <c r="O134" i="1"/>
  <c r="O75" i="1"/>
  <c r="F119" i="1"/>
  <c r="E119" i="1"/>
  <c r="O103" i="1" l="1"/>
  <c r="J118" i="1"/>
  <c r="M118" i="1"/>
  <c r="K118" i="1"/>
  <c r="G120" i="1"/>
  <c r="N120" i="1" s="1"/>
  <c r="P128" i="1"/>
  <c r="P145" i="1"/>
  <c r="P117" i="1"/>
  <c r="P131" i="1"/>
  <c r="P181" i="1"/>
  <c r="P169" i="1"/>
  <c r="P202" i="1"/>
  <c r="P215" i="1"/>
  <c r="P247" i="1"/>
  <c r="P228" i="1"/>
  <c r="P238" i="1"/>
  <c r="P294" i="1"/>
  <c r="P284" i="1"/>
  <c r="P278" i="1"/>
  <c r="P269" i="1"/>
  <c r="P262" i="1"/>
  <c r="E102" i="1"/>
  <c r="P112" i="1"/>
  <c r="P98" i="1"/>
  <c r="J120" i="1" l="1"/>
  <c r="K120" i="1"/>
  <c r="M120" i="1"/>
  <c r="H120" i="1"/>
  <c r="I120" i="1" s="1"/>
  <c r="E270" i="1"/>
  <c r="G270" i="1" s="1"/>
  <c r="E92" i="1"/>
  <c r="P87" i="1"/>
  <c r="P71" i="1"/>
  <c r="O63" i="1"/>
  <c r="E64" i="1"/>
  <c r="O65" i="1"/>
  <c r="O66" i="1"/>
  <c r="P60" i="1"/>
  <c r="O39" i="1"/>
  <c r="E41" i="1"/>
  <c r="E51" i="1"/>
  <c r="P47" i="1"/>
  <c r="P37" i="1"/>
  <c r="P25" i="1"/>
  <c r="P16" i="1"/>
  <c r="P6" i="1"/>
  <c r="O12" i="1"/>
  <c r="O120" i="1" l="1"/>
  <c r="K270" i="1"/>
  <c r="H270" i="1"/>
  <c r="N270" i="1" s="1"/>
  <c r="E271" i="1" s="1"/>
  <c r="J270" i="1"/>
  <c r="T250" i="1"/>
  <c r="T242" i="1"/>
  <c r="O271" i="1" l="1"/>
  <c r="I270" i="1"/>
  <c r="O270" i="1" s="1"/>
  <c r="G163" i="1"/>
  <c r="H163" i="1" l="1"/>
  <c r="N163" i="1" s="1"/>
  <c r="E164" i="1" s="1"/>
  <c r="O164" i="1" s="1"/>
  <c r="K163" i="1"/>
  <c r="J163" i="1"/>
  <c r="L163" i="1"/>
  <c r="G153" i="1"/>
  <c r="G230" i="1"/>
  <c r="G138" i="1"/>
  <c r="K153" i="1" l="1"/>
  <c r="J153" i="1"/>
  <c r="H153" i="1"/>
  <c r="N153" i="1" s="1"/>
  <c r="E157" i="1" s="1"/>
  <c r="O157" i="1" s="1"/>
  <c r="K138" i="1"/>
  <c r="H138" i="1"/>
  <c r="N138" i="1" s="1"/>
  <c r="E139" i="1" s="1"/>
  <c r="O139" i="1" s="1"/>
  <c r="J138" i="1"/>
  <c r="I163" i="1"/>
  <c r="O163" i="1" s="1"/>
  <c r="M153" i="1"/>
  <c r="M230" i="1"/>
  <c r="N230" i="1"/>
  <c r="E234" i="1" s="1"/>
  <c r="O234" i="1" s="1"/>
  <c r="K230" i="1"/>
  <c r="H230" i="1"/>
  <c r="I230" i="1" s="1"/>
  <c r="J230" i="1"/>
  <c r="M138" i="1"/>
  <c r="L138" i="1"/>
  <c r="G30" i="1"/>
  <c r="H30" i="1" s="1"/>
  <c r="K30" i="1" l="1"/>
  <c r="J30" i="1"/>
  <c r="I153" i="1"/>
  <c r="O153" i="1" s="1"/>
  <c r="O230" i="1"/>
  <c r="I138" i="1"/>
  <c r="O138" i="1" s="1"/>
  <c r="L30" i="1"/>
  <c r="N30" i="1"/>
  <c r="E31" i="1" s="1"/>
  <c r="O31" i="1" s="1"/>
  <c r="I30" i="1" l="1"/>
  <c r="O30" i="1" s="1"/>
  <c r="T218" i="1" l="1"/>
  <c r="T249" i="1"/>
  <c r="T204" i="1" l="1"/>
  <c r="T203" i="1"/>
  <c r="T231" i="1"/>
  <c r="T241" i="1"/>
  <c r="T230" i="1" l="1"/>
  <c r="T240" i="1"/>
  <c r="T186" i="1"/>
  <c r="T194" i="1"/>
  <c r="T193" i="1"/>
  <c r="G185" i="1"/>
  <c r="T183" i="1"/>
  <c r="T184" i="1"/>
  <c r="T185" i="1"/>
  <c r="T216" i="1"/>
  <c r="T217" i="1"/>
  <c r="T248" i="1"/>
  <c r="T229" i="1"/>
  <c r="T239" i="1"/>
  <c r="T263" i="1"/>
  <c r="H185" i="1" l="1"/>
  <c r="N185" i="1" s="1"/>
  <c r="E187" i="1" s="1"/>
  <c r="O187" i="1" s="1"/>
  <c r="K185" i="1"/>
  <c r="J185" i="1"/>
  <c r="L185" i="1"/>
  <c r="G263" i="1"/>
  <c r="G239" i="1"/>
  <c r="G229" i="1"/>
  <c r="G248" i="1"/>
  <c r="T147" i="1"/>
  <c r="T148" i="1"/>
  <c r="T149" i="1"/>
  <c r="T146" i="1"/>
  <c r="T102" i="1"/>
  <c r="T99" i="1"/>
  <c r="T119" i="1"/>
  <c r="T120" i="1"/>
  <c r="T121" i="1"/>
  <c r="T118" i="1"/>
  <c r="T162" i="1"/>
  <c r="G216" i="1"/>
  <c r="N216" i="1" s="1"/>
  <c r="E217" i="1" s="1"/>
  <c r="O217" i="1" s="1"/>
  <c r="G152" i="1"/>
  <c r="G92" i="1"/>
  <c r="T171" i="1"/>
  <c r="H92" i="1" l="1"/>
  <c r="N92" i="1" s="1"/>
  <c r="K92" i="1"/>
  <c r="J92" i="1"/>
  <c r="K152" i="1"/>
  <c r="H152" i="1"/>
  <c r="N152" i="1" s="1"/>
  <c r="E156" i="1" s="1"/>
  <c r="O156" i="1" s="1"/>
  <c r="J152" i="1"/>
  <c r="I185" i="1"/>
  <c r="O185" i="1" s="1"/>
  <c r="H263" i="1"/>
  <c r="M263" i="1"/>
  <c r="K263" i="1"/>
  <c r="J263" i="1"/>
  <c r="K239" i="1"/>
  <c r="M239" i="1"/>
  <c r="N239" i="1"/>
  <c r="E240" i="1" s="1"/>
  <c r="O240" i="1" s="1"/>
  <c r="H239" i="1"/>
  <c r="I239" i="1" s="1"/>
  <c r="J239" i="1"/>
  <c r="K229" i="1"/>
  <c r="M229" i="1"/>
  <c r="N229" i="1"/>
  <c r="E231" i="1" s="1"/>
  <c r="O231" i="1" s="1"/>
  <c r="H229" i="1"/>
  <c r="I229" i="1" s="1"/>
  <c r="J229" i="1"/>
  <c r="K248" i="1"/>
  <c r="H248" i="1"/>
  <c r="I248" i="1" s="1"/>
  <c r="M248" i="1"/>
  <c r="N248" i="1"/>
  <c r="E249" i="1" s="1"/>
  <c r="J248" i="1"/>
  <c r="J216" i="1"/>
  <c r="M216" i="1"/>
  <c r="K216" i="1"/>
  <c r="H216" i="1"/>
  <c r="I216" i="1" s="1"/>
  <c r="L172" i="1"/>
  <c r="M152" i="1"/>
  <c r="M92" i="1"/>
  <c r="L92" i="1"/>
  <c r="L66" i="1"/>
  <c r="O151" i="1"/>
  <c r="O249" i="1" l="1"/>
  <c r="I263" i="1"/>
  <c r="N263" i="1"/>
  <c r="E264" i="1" s="1"/>
  <c r="O248" i="1"/>
  <c r="O239" i="1"/>
  <c r="E93" i="1"/>
  <c r="O93" i="1" s="1"/>
  <c r="O229" i="1"/>
  <c r="O216" i="1"/>
  <c r="I92" i="1"/>
  <c r="O92" i="1" s="1"/>
  <c r="I152" i="1"/>
  <c r="O152" i="1" s="1"/>
  <c r="G119" i="1"/>
  <c r="N118" i="1"/>
  <c r="H118" i="1"/>
  <c r="I118" i="1" s="1"/>
  <c r="O264" i="1" l="1"/>
  <c r="O263" i="1"/>
  <c r="O118" i="1"/>
  <c r="N119" i="1"/>
  <c r="E121" i="1" s="1"/>
  <c r="O121" i="1" s="1"/>
  <c r="J119" i="1"/>
  <c r="M119" i="1"/>
  <c r="K119" i="1"/>
  <c r="H119" i="1"/>
  <c r="I119" i="1" s="1"/>
  <c r="G203" i="1"/>
  <c r="K203" i="1" l="1"/>
  <c r="J203" i="1"/>
  <c r="O119" i="1"/>
  <c r="H203" i="1"/>
  <c r="N203" i="1" s="1"/>
  <c r="E204" i="1" s="1"/>
  <c r="L203" i="1"/>
  <c r="G162" i="1"/>
  <c r="K162" i="1" l="1"/>
  <c r="J162" i="1"/>
  <c r="H162" i="1"/>
  <c r="N162" i="1" s="1"/>
  <c r="E165" i="1" s="1"/>
  <c r="O165" i="1" s="1"/>
  <c r="O204" i="1"/>
  <c r="O203" i="1"/>
  <c r="I203" i="1"/>
  <c r="L171" i="1"/>
  <c r="O171" i="1" s="1"/>
  <c r="L162" i="1"/>
  <c r="G193" i="1"/>
  <c r="M193" i="1" l="1"/>
  <c r="K193" i="1"/>
  <c r="J193" i="1"/>
  <c r="I162" i="1"/>
  <c r="O162" i="1" s="1"/>
  <c r="H193" i="1"/>
  <c r="N193" i="1" s="1"/>
  <c r="E194" i="1" s="1"/>
  <c r="L193" i="1"/>
  <c r="O194" i="1" l="1"/>
  <c r="I193" i="1"/>
  <c r="O193" i="1" s="1"/>
  <c r="G183" i="1" l="1"/>
  <c r="T182" i="1"/>
  <c r="K183" i="1" l="1"/>
  <c r="H183" i="1"/>
  <c r="N183" i="1" s="1"/>
  <c r="E186" i="1" s="1"/>
  <c r="J183" i="1"/>
  <c r="L183" i="1"/>
  <c r="T170" i="1"/>
  <c r="O186" i="1" l="1"/>
  <c r="I183" i="1"/>
  <c r="O183" i="1" s="1"/>
  <c r="T49" i="1"/>
  <c r="T50" i="1"/>
  <c r="T51" i="1"/>
  <c r="T52" i="1"/>
  <c r="T53" i="1"/>
  <c r="T48" i="1"/>
  <c r="T161" i="1"/>
  <c r="G10" i="1"/>
  <c r="G11" i="1"/>
  <c r="T384" i="1" l="1"/>
  <c r="M11" i="1"/>
  <c r="L11" i="1"/>
  <c r="H10" i="1"/>
  <c r="N10" i="1" s="1"/>
  <c r="L10" i="1"/>
  <c r="K10" i="1"/>
  <c r="J10" i="1"/>
  <c r="H11" i="1"/>
  <c r="J11" i="1"/>
  <c r="K11" i="1"/>
  <c r="G161" i="1"/>
  <c r="G170" i="1"/>
  <c r="G182" i="1"/>
  <c r="K161" i="1" l="1"/>
  <c r="H161" i="1"/>
  <c r="N161" i="1" s="1"/>
  <c r="E166" i="1" s="1"/>
  <c r="O166" i="1" s="1"/>
  <c r="J161" i="1"/>
  <c r="J170" i="1"/>
  <c r="H170" i="1"/>
  <c r="N170" i="1" s="1"/>
  <c r="E172" i="1" s="1"/>
  <c r="O172" i="1" s="1"/>
  <c r="H182" i="1"/>
  <c r="N182" i="1" s="1"/>
  <c r="E184" i="1" s="1"/>
  <c r="K182" i="1"/>
  <c r="J182" i="1"/>
  <c r="I10" i="1"/>
  <c r="O10" i="1" s="1"/>
  <c r="I11" i="1"/>
  <c r="N11" i="1"/>
  <c r="M170" i="1"/>
  <c r="L170" i="1"/>
  <c r="K170" i="1"/>
  <c r="L161" i="1"/>
  <c r="L182" i="1"/>
  <c r="O184" i="1" l="1"/>
  <c r="I170" i="1"/>
  <c r="O170" i="1" s="1"/>
  <c r="O11" i="1"/>
  <c r="I182" i="1"/>
  <c r="O182" i="1" s="1"/>
  <c r="I161" i="1"/>
  <c r="O161" i="1" s="1"/>
  <c r="F136" i="1" l="1"/>
  <c r="G136" i="1" s="1"/>
  <c r="K136" i="1" l="1"/>
  <c r="H136" i="1"/>
  <c r="N136" i="1" s="1"/>
  <c r="J136" i="1"/>
  <c r="M136" i="1"/>
  <c r="L136" i="1"/>
  <c r="G9" i="1"/>
  <c r="H9" i="1" l="1"/>
  <c r="J9" i="1"/>
  <c r="L9" i="1"/>
  <c r="K9" i="1"/>
  <c r="I136" i="1"/>
  <c r="O136" i="1" s="1"/>
  <c r="G41" i="1"/>
  <c r="H41" i="1" s="1"/>
  <c r="K41" i="1" l="1"/>
  <c r="J41" i="1"/>
  <c r="I9" i="1"/>
  <c r="N9" i="1"/>
  <c r="N41" i="1"/>
  <c r="E45" i="1" s="1"/>
  <c r="O45" i="1" s="1"/>
  <c r="O9" i="1" l="1"/>
  <c r="I41" i="1"/>
  <c r="O41" i="1" s="1"/>
  <c r="G102" i="1"/>
  <c r="K102" i="1" l="1"/>
  <c r="J102" i="1"/>
  <c r="H102" i="1"/>
  <c r="N102" i="1" s="1"/>
  <c r="M102" i="1"/>
  <c r="L102" i="1"/>
  <c r="I102" i="1" l="1"/>
  <c r="O102" i="1" s="1"/>
  <c r="G20" i="1"/>
  <c r="M20" i="1" l="1"/>
  <c r="J20" i="1"/>
  <c r="H20" i="1"/>
  <c r="N20" i="1" s="1"/>
  <c r="E22" i="1" s="1"/>
  <c r="O22" i="1" s="1"/>
  <c r="K20" i="1"/>
  <c r="L20" i="1"/>
  <c r="I20" i="1" l="1"/>
  <c r="O20" i="1" s="1"/>
  <c r="G64" i="1" l="1"/>
  <c r="H64" i="1" s="1"/>
  <c r="E62" i="1"/>
  <c r="G62" i="1" s="1"/>
  <c r="H62" i="1" s="1"/>
  <c r="G61" i="1"/>
  <c r="H61" i="1" s="1"/>
  <c r="K62" i="1" l="1"/>
  <c r="J62" i="1"/>
  <c r="M61" i="1"/>
  <c r="K61" i="1"/>
  <c r="J61" i="1"/>
  <c r="K64" i="1"/>
  <c r="J64" i="1"/>
  <c r="L62" i="1"/>
  <c r="M62" i="1"/>
  <c r="N62" i="1"/>
  <c r="N64" i="1"/>
  <c r="L64" i="1"/>
  <c r="N61" i="1"/>
  <c r="L61" i="1"/>
  <c r="I64" i="1" l="1"/>
  <c r="O64" i="1" s="1"/>
  <c r="I61" i="1"/>
  <c r="O61" i="1" s="1"/>
  <c r="I62" i="1"/>
  <c r="O62" i="1" s="1"/>
  <c r="G51" i="1" l="1"/>
  <c r="H51" i="1" s="1"/>
  <c r="K51" i="1" l="1"/>
  <c r="J51" i="1"/>
  <c r="L51" i="1"/>
  <c r="N51" i="1"/>
  <c r="I51" i="1" l="1"/>
  <c r="O51" i="1" s="1"/>
  <c r="H48" i="6" l="1"/>
  <c r="Q92" i="6" l="1"/>
  <c r="Q69" i="6"/>
  <c r="Q24" i="6"/>
  <c r="Q23" i="6"/>
  <c r="I14" i="6"/>
  <c r="J14" i="6" s="1"/>
  <c r="K14" i="6" s="1"/>
  <c r="Q9" i="6"/>
  <c r="I8" i="6"/>
  <c r="J8" i="6" s="1"/>
  <c r="K8" i="6" s="1"/>
  <c r="G95" i="6"/>
  <c r="G88" i="6"/>
  <c r="G81" i="6"/>
  <c r="H95" i="6"/>
  <c r="H81" i="6"/>
  <c r="I81" i="6" s="1"/>
  <c r="H74" i="6"/>
  <c r="G74" i="6"/>
  <c r="H65" i="6"/>
  <c r="G65" i="6"/>
  <c r="G56" i="6"/>
  <c r="G48" i="6"/>
  <c r="G37" i="6"/>
  <c r="H37" i="6"/>
  <c r="H12" i="6"/>
  <c r="H19" i="6"/>
  <c r="H30" i="6"/>
  <c r="G30" i="6"/>
  <c r="G19" i="6"/>
  <c r="G12" i="6"/>
  <c r="G91" i="6"/>
  <c r="I91" i="6" s="1"/>
  <c r="I90" i="6"/>
  <c r="J90" i="6" s="1"/>
  <c r="K90" i="6" s="1"/>
  <c r="H83" i="6"/>
  <c r="H88" i="6" s="1"/>
  <c r="G83" i="6"/>
  <c r="G85" i="6" s="1"/>
  <c r="I85" i="6" s="1"/>
  <c r="G76" i="6"/>
  <c r="G78" i="6" s="1"/>
  <c r="I78" i="6" s="1"/>
  <c r="G67" i="6"/>
  <c r="G68" i="6" s="1"/>
  <c r="I68" i="6" s="1"/>
  <c r="I61" i="6"/>
  <c r="G60" i="6"/>
  <c r="I60" i="6" s="1"/>
  <c r="Q51" i="6"/>
  <c r="H50" i="6"/>
  <c r="H56" i="6" s="1"/>
  <c r="I56" i="6" s="1"/>
  <c r="P56" i="6" s="1"/>
  <c r="G50" i="6"/>
  <c r="H45" i="6"/>
  <c r="I45" i="6" s="1"/>
  <c r="G43" i="6"/>
  <c r="G44" i="6" s="1"/>
  <c r="I44" i="6" s="1"/>
  <c r="G32" i="6"/>
  <c r="I32" i="6" s="1"/>
  <c r="G22" i="6"/>
  <c r="I22" i="6" s="1"/>
  <c r="G21" i="6"/>
  <c r="G16" i="6"/>
  <c r="I16" i="6" s="1"/>
  <c r="J16" i="6" s="1"/>
  <c r="K16" i="6" s="1"/>
  <c r="G10" i="6"/>
  <c r="I10" i="6" s="1"/>
  <c r="G25" i="6" l="1"/>
  <c r="I25" i="6" s="1"/>
  <c r="I37" i="6"/>
  <c r="O37" i="6" s="1"/>
  <c r="I50" i="6"/>
  <c r="J50" i="6" s="1"/>
  <c r="I95" i="6"/>
  <c r="P95" i="6" s="1"/>
  <c r="I12" i="6"/>
  <c r="O12" i="6" s="1"/>
  <c r="I19" i="6"/>
  <c r="M19" i="6" s="1"/>
  <c r="J10" i="6"/>
  <c r="K10" i="6" s="1"/>
  <c r="J25" i="6"/>
  <c r="K25" i="6" s="1"/>
  <c r="J22" i="6"/>
  <c r="K22" i="6" s="1"/>
  <c r="L45" i="6"/>
  <c r="M45" i="6"/>
  <c r="N45" i="6"/>
  <c r="O45" i="6"/>
  <c r="J32" i="6"/>
  <c r="K32" i="6" s="1"/>
  <c r="I21" i="6"/>
  <c r="N37" i="6"/>
  <c r="I83" i="6"/>
  <c r="J83" i="6" s="1"/>
  <c r="G84" i="6" s="1"/>
  <c r="I84" i="6" s="1"/>
  <c r="K84" i="6" s="1"/>
  <c r="Q84" i="6" s="1"/>
  <c r="L37" i="6"/>
  <c r="G34" i="6"/>
  <c r="I34" i="6" s="1"/>
  <c r="I88" i="6"/>
  <c r="M88" i="6" s="1"/>
  <c r="M81" i="6"/>
  <c r="L81" i="6"/>
  <c r="J81" i="6"/>
  <c r="K81" i="6" s="1"/>
  <c r="P81" i="6"/>
  <c r="O81" i="6"/>
  <c r="N81" i="6"/>
  <c r="I74" i="6"/>
  <c r="L74" i="6" s="1"/>
  <c r="I65" i="6"/>
  <c r="N65" i="6" s="1"/>
  <c r="J56" i="6"/>
  <c r="K56" i="6" s="1"/>
  <c r="O56" i="6"/>
  <c r="L56" i="6"/>
  <c r="M56" i="6"/>
  <c r="N56" i="6"/>
  <c r="I48" i="6"/>
  <c r="J48" i="6" s="1"/>
  <c r="K48" i="6" s="1"/>
  <c r="L19" i="6"/>
  <c r="I30" i="6"/>
  <c r="O30" i="6" s="1"/>
  <c r="J85" i="6"/>
  <c r="J44" i="6"/>
  <c r="J68" i="6"/>
  <c r="J91" i="6"/>
  <c r="J78" i="6"/>
  <c r="J60" i="6"/>
  <c r="I67" i="6"/>
  <c r="I43" i="6"/>
  <c r="G52" i="6"/>
  <c r="I52" i="6" s="1"/>
  <c r="J61" i="6"/>
  <c r="K61" i="6" s="1"/>
  <c r="J45" i="6"/>
  <c r="P45" i="6" s="1"/>
  <c r="I76" i="6"/>
  <c r="P37" i="6" l="1"/>
  <c r="J37" i="6"/>
  <c r="K37" i="6" s="1"/>
  <c r="M37" i="6"/>
  <c r="Q37" i="6" s="1"/>
  <c r="O95" i="6"/>
  <c r="M12" i="6"/>
  <c r="M95" i="6"/>
  <c r="J12" i="6"/>
  <c r="K12" i="6" s="1"/>
  <c r="N12" i="6"/>
  <c r="L95" i="6"/>
  <c r="P12" i="6"/>
  <c r="J95" i="6"/>
  <c r="K95" i="6" s="1"/>
  <c r="N95" i="6"/>
  <c r="O19" i="6"/>
  <c r="P19" i="6"/>
  <c r="J19" i="6"/>
  <c r="K19" i="6" s="1"/>
  <c r="P30" i="6"/>
  <c r="N19" i="6"/>
  <c r="J65" i="6"/>
  <c r="K65" i="6" s="1"/>
  <c r="N74" i="6"/>
  <c r="K83" i="6"/>
  <c r="M74" i="6"/>
  <c r="L12" i="6"/>
  <c r="O74" i="6"/>
  <c r="N88" i="6"/>
  <c r="J88" i="6"/>
  <c r="K88" i="6" s="1"/>
  <c r="M48" i="6"/>
  <c r="P65" i="6"/>
  <c r="J21" i="6"/>
  <c r="K21" i="6" s="1"/>
  <c r="L48" i="6"/>
  <c r="O65" i="6"/>
  <c r="O88" i="6"/>
  <c r="L30" i="6"/>
  <c r="N48" i="6"/>
  <c r="J30" i="6"/>
  <c r="K30" i="6" s="1"/>
  <c r="M30" i="6"/>
  <c r="P48" i="6"/>
  <c r="L65" i="6"/>
  <c r="J34" i="6"/>
  <c r="K34" i="6" s="1"/>
  <c r="M65" i="6"/>
  <c r="L88" i="6"/>
  <c r="P88" i="6"/>
  <c r="N30" i="6"/>
  <c r="O48" i="6"/>
  <c r="J74" i="6"/>
  <c r="K74" i="6" s="1"/>
  <c r="P74" i="6"/>
  <c r="Q81" i="6"/>
  <c r="Q56" i="6"/>
  <c r="J76" i="6"/>
  <c r="K50" i="6"/>
  <c r="K68" i="6"/>
  <c r="K45" i="6"/>
  <c r="Q45" i="6" s="1"/>
  <c r="J52" i="6"/>
  <c r="K52" i="6" s="1"/>
  <c r="J67" i="6"/>
  <c r="K67" i="6" s="1"/>
  <c r="K78" i="6"/>
  <c r="J43" i="6"/>
  <c r="K60" i="6"/>
  <c r="K91" i="6"/>
  <c r="K85" i="6"/>
  <c r="G33" i="6"/>
  <c r="I33" i="6" s="1"/>
  <c r="K44" i="6"/>
  <c r="Q12" i="6" l="1"/>
  <c r="Q95" i="6"/>
  <c r="Q19" i="6"/>
  <c r="O98" i="6"/>
  <c r="Q65" i="6"/>
  <c r="M98" i="6"/>
  <c r="N98" i="6"/>
  <c r="Q88" i="6"/>
  <c r="Q48" i="6"/>
  <c r="Q30" i="6"/>
  <c r="Q74" i="6"/>
  <c r="K33" i="6"/>
  <c r="Q33" i="6" s="1"/>
  <c r="K76" i="6"/>
  <c r="K43" i="6"/>
  <c r="Q96" i="6" l="1"/>
  <c r="T97" i="6" s="1"/>
  <c r="F148" i="1"/>
  <c r="G148" i="1" l="1"/>
  <c r="H148" i="1" l="1"/>
  <c r="N148" i="1" s="1"/>
  <c r="K148" i="1"/>
  <c r="J148" i="1"/>
  <c r="M148" i="1"/>
  <c r="I148" i="1" l="1"/>
  <c r="O148" i="1" s="1"/>
  <c r="G7" i="1" l="1"/>
  <c r="L7" i="1" l="1"/>
  <c r="J7" i="1"/>
  <c r="M7" i="1"/>
  <c r="H7" i="1"/>
  <c r="K7" i="1"/>
  <c r="G8" i="1"/>
  <c r="L8" i="1" l="1"/>
  <c r="J8" i="1"/>
  <c r="K8" i="1"/>
  <c r="M8" i="1"/>
  <c r="H8" i="1"/>
  <c r="N8" i="1" s="1"/>
  <c r="E13" i="1" s="1"/>
  <c r="N7" i="1"/>
  <c r="I7" i="1"/>
  <c r="I8" i="1" l="1"/>
  <c r="O8" i="1" s="1"/>
  <c r="O13" i="1"/>
  <c r="O7" i="1"/>
  <c r="F17" i="1"/>
  <c r="E19" i="1"/>
  <c r="G19" i="1" s="1"/>
  <c r="H19" i="1" l="1"/>
  <c r="N19" i="1" s="1"/>
  <c r="K19" i="1"/>
  <c r="M19" i="1"/>
  <c r="J19" i="1"/>
  <c r="L19" i="1"/>
  <c r="G17" i="1"/>
  <c r="K17" i="1" l="1"/>
  <c r="H17" i="1"/>
  <c r="J17" i="1"/>
  <c r="M17" i="1"/>
  <c r="I19" i="1"/>
  <c r="O19" i="1" s="1"/>
  <c r="L17" i="1"/>
  <c r="I17" i="1" l="1"/>
  <c r="E18" i="1"/>
  <c r="N17" i="1"/>
  <c r="O18" i="1" l="1"/>
  <c r="O17" i="1"/>
  <c r="E26" i="1"/>
  <c r="G26" i="1" s="1"/>
  <c r="H26" i="1" s="1"/>
  <c r="K26" i="1" l="1"/>
  <c r="J26" i="1"/>
  <c r="L26" i="1"/>
  <c r="E28" i="1"/>
  <c r="G28" i="1" l="1"/>
  <c r="H28" i="1" s="1"/>
  <c r="N26" i="1"/>
  <c r="I26" i="1"/>
  <c r="K28" i="1" l="1"/>
  <c r="J28" i="1"/>
  <c r="N28" i="1"/>
  <c r="E29" i="1" s="1"/>
  <c r="L28" i="1"/>
  <c r="O29" i="1" l="1"/>
  <c r="I28" i="1"/>
  <c r="N50" i="1"/>
  <c r="L50" i="1"/>
  <c r="E48" i="1"/>
  <c r="E49" i="1" s="1"/>
  <c r="G49" i="1" s="1"/>
  <c r="H49" i="1" s="1"/>
  <c r="O28" i="1" l="1"/>
  <c r="K49" i="1"/>
  <c r="J49" i="1"/>
  <c r="G48" i="1"/>
  <c r="H48" i="1" s="1"/>
  <c r="L49" i="1"/>
  <c r="N49" i="1"/>
  <c r="M49" i="1"/>
  <c r="O384" i="1" l="1"/>
  <c r="I392" i="1" s="1"/>
  <c r="V26" i="1"/>
  <c r="V384" i="1" s="1"/>
  <c r="L48" i="1"/>
  <c r="K48" i="1"/>
  <c r="J48" i="1"/>
  <c r="I49" i="1"/>
  <c r="O49" i="1" s="1"/>
  <c r="M48" i="1"/>
  <c r="N48" i="1"/>
  <c r="I48" i="1" l="1"/>
  <c r="O48" i="1" s="1"/>
  <c r="G133" i="1"/>
  <c r="E132" i="1"/>
  <c r="G132" i="1" s="1"/>
  <c r="M133" i="1" l="1"/>
  <c r="K133" i="1"/>
  <c r="H133" i="1"/>
  <c r="N133" i="1" s="1"/>
  <c r="J133" i="1"/>
  <c r="H132" i="1"/>
  <c r="N132" i="1" s="1"/>
  <c r="K132" i="1"/>
  <c r="J132" i="1"/>
  <c r="L132" i="1"/>
  <c r="L133" i="1"/>
  <c r="M132" i="1"/>
  <c r="I133" i="1" l="1"/>
  <c r="O133" i="1" s="1"/>
  <c r="I132" i="1"/>
  <c r="O132" i="1" s="1"/>
  <c r="O100" i="1" l="1"/>
  <c r="F99" i="1"/>
  <c r="F384" i="1" s="1"/>
  <c r="E99" i="1"/>
  <c r="E101" i="1" s="1"/>
  <c r="G101" i="1" s="1"/>
  <c r="K101" i="1" l="1"/>
  <c r="H101" i="1"/>
  <c r="N101" i="1" s="1"/>
  <c r="J101" i="1"/>
  <c r="L101" i="1"/>
  <c r="M101" i="1"/>
  <c r="G99" i="1"/>
  <c r="K99" i="1" l="1"/>
  <c r="H99" i="1"/>
  <c r="N99" i="1" s="1"/>
  <c r="J99" i="1"/>
  <c r="I101" i="1"/>
  <c r="O101" i="1" s="1"/>
  <c r="M99" i="1"/>
  <c r="L99" i="1"/>
  <c r="I99" i="1" l="1"/>
  <c r="O99" i="1" s="1"/>
  <c r="E146" i="1" l="1"/>
  <c r="G146" i="1" s="1"/>
  <c r="K146" i="1" l="1"/>
  <c r="J146" i="1"/>
  <c r="H146" i="1"/>
  <c r="N146" i="1" s="1"/>
  <c r="L146" i="1"/>
  <c r="M146" i="1"/>
  <c r="E147" i="1"/>
  <c r="G147" i="1" l="1"/>
  <c r="I146" i="1"/>
  <c r="O146" i="1" s="1"/>
  <c r="L147" i="1" l="1"/>
  <c r="J147" i="1"/>
  <c r="H147" i="1"/>
  <c r="N147" i="1" s="1"/>
  <c r="K147" i="1"/>
  <c r="M147" i="1"/>
  <c r="I147" i="1" l="1"/>
  <c r="O147" i="1"/>
  <c r="E88" i="1"/>
  <c r="E90" i="1" s="1"/>
  <c r="G90" i="1" s="1"/>
  <c r="K90" i="1" l="1"/>
  <c r="J90" i="1"/>
  <c r="H90" i="1"/>
  <c r="N90" i="1" s="1"/>
  <c r="L90" i="1"/>
  <c r="M90" i="1"/>
  <c r="G88" i="1"/>
  <c r="K88" i="1" l="1"/>
  <c r="J88" i="1"/>
  <c r="H88" i="1"/>
  <c r="I90" i="1"/>
  <c r="O90" i="1" s="1"/>
  <c r="M88" i="1"/>
  <c r="L88" i="1"/>
  <c r="E89" i="1" l="1"/>
  <c r="N88" i="1"/>
  <c r="I88" i="1"/>
  <c r="O89" i="1" l="1"/>
  <c r="O88" i="1"/>
  <c r="E73" i="1" l="1"/>
  <c r="G73" i="1" s="1"/>
  <c r="H73" i="1" s="1"/>
  <c r="E72" i="1"/>
  <c r="K73" i="1" l="1"/>
  <c r="J73" i="1"/>
  <c r="E76" i="1"/>
  <c r="G76" i="1" s="1"/>
  <c r="H76" i="1" s="1"/>
  <c r="L73" i="1"/>
  <c r="N73" i="1"/>
  <c r="G72" i="1"/>
  <c r="H72" i="1" s="1"/>
  <c r="K72" i="1" l="1"/>
  <c r="J72" i="1"/>
  <c r="N76" i="1"/>
  <c r="K76" i="1"/>
  <c r="J76" i="1"/>
  <c r="I73" i="1"/>
  <c r="O73" i="1" s="1"/>
  <c r="I76" i="1" l="1"/>
  <c r="O76" i="1" s="1"/>
  <c r="I72" i="1"/>
  <c r="N72" i="1"/>
  <c r="E74" i="1"/>
  <c r="E385" i="1" s="1"/>
  <c r="O74" i="1" l="1"/>
  <c r="O72" i="1"/>
  <c r="E40" i="1" l="1"/>
  <c r="E384" i="1" s="1"/>
  <c r="E386" i="1" s="1"/>
  <c r="G38" i="1"/>
  <c r="H38" i="1" l="1"/>
  <c r="K38" i="1"/>
  <c r="J38" i="1"/>
  <c r="M38" i="1"/>
  <c r="G40" i="1"/>
  <c r="H40" i="1" s="1"/>
  <c r="L38" i="1"/>
  <c r="G384" i="1" l="1"/>
  <c r="H384" i="1"/>
  <c r="L40" i="1"/>
  <c r="L384" i="1" s="1"/>
  <c r="K40" i="1"/>
  <c r="K384" i="1" s="1"/>
  <c r="J40" i="1"/>
  <c r="J384" i="1" s="1"/>
  <c r="M40" i="1"/>
  <c r="M384" i="1" s="1"/>
  <c r="N40" i="1"/>
  <c r="N38" i="1"/>
  <c r="I38" i="1"/>
  <c r="I391" i="1" l="1"/>
  <c r="N384" i="1"/>
  <c r="I40" i="1"/>
  <c r="O40" i="1" s="1"/>
  <c r="O38" i="1"/>
  <c r="I384" i="1" l="1"/>
</calcChain>
</file>

<file path=xl/sharedStrings.xml><?xml version="1.0" encoding="utf-8"?>
<sst xmlns="http://schemas.openxmlformats.org/spreadsheetml/2006/main" count="800" uniqueCount="498">
  <si>
    <t>Invoice Reconcilation</t>
  </si>
  <si>
    <t>Janardhan Organic Food Mill</t>
  </si>
  <si>
    <t>OHT Construction work</t>
  </si>
  <si>
    <t>Invoice Details</t>
  </si>
  <si>
    <t>Invoice Date</t>
  </si>
  <si>
    <t>Invoice No</t>
  </si>
  <si>
    <t>Basic Amt</t>
  </si>
  <si>
    <t xml:space="preserve">Debit </t>
  </si>
  <si>
    <t>After Debit Amt</t>
  </si>
  <si>
    <t>18% GST</t>
  </si>
  <si>
    <t>Amount</t>
  </si>
  <si>
    <t>TDS (1%)</t>
  </si>
  <si>
    <t>SD (5%)</t>
  </si>
  <si>
    <t>On Commissioning</t>
  </si>
  <si>
    <t>Testing Deposit</t>
  </si>
  <si>
    <t>GST SD (18%)</t>
  </si>
  <si>
    <t>Final Amount</t>
  </si>
  <si>
    <t>PAYMENT NOTE No.</t>
  </si>
  <si>
    <t>Total Amount Paid</t>
  </si>
  <si>
    <t>UTR</t>
  </si>
  <si>
    <t>Kajipur Thirwa Village OHT Construction work 250kl 12 m</t>
  </si>
  <si>
    <t>RIUP22/2401</t>
  </si>
  <si>
    <t>01/03/2023 NEFT/AXISP00367587604/RIUP22/2401/JANARD 495000.00</t>
  </si>
  <si>
    <t>RIUP23/579</t>
  </si>
  <si>
    <t>12-06-2023 NEFT/AXISP00397581454/RIUP23/579/JANARDAN ORGANIC 99000.00</t>
  </si>
  <si>
    <t>RIUP23/651</t>
  </si>
  <si>
    <t>13-06-2023 NEFT/AXISP00398124635/RIUP23/651/JANARDAN ORGANIC 99000.00</t>
  </si>
  <si>
    <t>Total Payable Amount Rs. -</t>
  </si>
  <si>
    <t>Makheri kadargarh  Village OHT Construction work</t>
  </si>
  <si>
    <t>GST release note</t>
  </si>
  <si>
    <t>RIUP22/1124</t>
  </si>
  <si>
    <t>28-10-2022 NEFT/AXISP00332142998/RIUP22/1124/JANARDAN ORGANI 594000.00</t>
  </si>
  <si>
    <t>RIUP22/1996</t>
  </si>
  <si>
    <t>24-01-2023 NEFT/AXISP00330179787/RIUP22/1996/JANARDAN ORGANI 495000.00</t>
  </si>
  <si>
    <t>Mantmanti  Village OHT Construction work )375 KL 12 M staging Ht)</t>
  </si>
  <si>
    <t>RIUP22/1050</t>
  </si>
  <si>
    <t>20-10-2022 NEFT/AXISP00330179783/RIUP22/1050/JANARDAN ORGANI 594000.00</t>
  </si>
  <si>
    <t>RIUP22/1995</t>
  </si>
  <si>
    <t>24-01-2023 NEFT/AXISP00330179786/RIUP22/1995/JANARDAN ORGANI 495000.00</t>
  </si>
  <si>
    <t>2023 April 07 ----------- Janardan Organic Food Mill --------- Rs. 50,000 ------------ /AXISP00379707431</t>
  </si>
  <si>
    <t>Badhev Kannukheda Village OHT Construction work</t>
  </si>
  <si>
    <t>RIUP22/1250</t>
  </si>
  <si>
    <t>14-11-2022 NEFT/AXISP00337247390/RIUP22/1250/JANARDAN ORGANI 297000.00</t>
  </si>
  <si>
    <t>RIUP22/1344</t>
  </si>
  <si>
    <t>24-11-2022 NEFT/AXISP00340040190/RIUP22/1344/JANARDAN ORGANI 297000.00</t>
  </si>
  <si>
    <t>RIUP22/1616</t>
  </si>
  <si>
    <t>23-12-2022 NEFT/AXISP00348462541/RIUP22/1616/JANARDAN ORGANI 198000.00</t>
  </si>
  <si>
    <t>RIUP22/2142</t>
  </si>
  <si>
    <t>13-02-2023 NEFT/AXISP00362757393/RIUP22/2142/JANARDAN ORGANI ₹ 30,106.00</t>
  </si>
  <si>
    <t>RIUP22/2183</t>
  </si>
  <si>
    <t>16-02-2023 NEFT/AXISP00363866679/RIUP22/2183/JANARDAN ORGANI ₹ 85,079.00</t>
  </si>
  <si>
    <t>2023 April 07 ------------ Janardan Organic Food Mills ------------ Rs. 2,00,000 -------------- AXISP00379707434</t>
  </si>
  <si>
    <t>SPUP23/0191</t>
  </si>
  <si>
    <t>21-04-2023 NEFT/AXISP00383377297/SPUP23/0191/JANARDAN ORGANI 7573.00</t>
  </si>
  <si>
    <t>RIUP23/331</t>
  </si>
  <si>
    <t>19-05-2023 NEFT/AXISP00391394987/RIUP23/331/JANARDAN ORGANIC ₹ 1,48,500.00</t>
  </si>
  <si>
    <t>Datera  Village OHT Construction work</t>
  </si>
  <si>
    <t>GST reklease note</t>
  </si>
  <si>
    <t>RIUP22/1390</t>
  </si>
  <si>
    <t>30-11-2022 NEFT/AXISP00341651972/RIUP22/1390/JANARDAN ORGANI 495000.00</t>
  </si>
  <si>
    <t>RIUP22/1578</t>
  </si>
  <si>
    <t>20-12-2022 NEFT/AXISP00347623939/RIUP22/1578/JANARDAN ORGANI 148500.00</t>
  </si>
  <si>
    <t>Grahi Hasanpur Village OHT Construction work</t>
  </si>
  <si>
    <t>GST release</t>
  </si>
  <si>
    <t>RIUP22/1512</t>
  </si>
  <si>
    <t>14-12-2022 NEFT/AXISP00346247015/RIUP22/1512/JANARDAN ORGANI 495000.00</t>
  </si>
  <si>
    <t>RIUP22/2178</t>
  </si>
  <si>
    <t>15-02-2023 NEFT/AXISP00363307377/RIUP22/2178/JANARDAN ORGANI ₹ 29,556.00 - GST adj</t>
  </si>
  <si>
    <t>2023 April 07 ---------- Janardan Organic Food Mill ----------- Rs. 1,00,000 ---------- AXISP00379707433</t>
  </si>
  <si>
    <t>RIUP22/2495</t>
  </si>
  <si>
    <t>08-03-2023 NEFT/AXISP00369766184/RIUP22/2495/JANARDAN ORGANI 495000.00</t>
  </si>
  <si>
    <t>Rajhar Village OHT Construction work 350kl 14 m</t>
  </si>
  <si>
    <t>SPUP23/0186</t>
  </si>
  <si>
    <t>19-04-2023 19-04-2023 NEFT/AXISP00382928308/SPUP23/0186/JANARDAN ORGANI 215436.00</t>
  </si>
  <si>
    <t>SPUP23/0187</t>
  </si>
  <si>
    <t>19-04-2023 19-04-2023 NEFT/AXISP00382928309/SPUP23/0187/JANARDAN ORGANI 357153.00</t>
  </si>
  <si>
    <t>Titayli Village OHT Construction work</t>
  </si>
  <si>
    <t>GST Release Note</t>
  </si>
  <si>
    <t>RIUP22/786</t>
  </si>
  <si>
    <t>20-09-2022 NEFT/AXISP00321260566/RIUP22/786/JANARDAN ORGANIC ₹ 2,97,000.00</t>
  </si>
  <si>
    <t>RIUP22/1251</t>
  </si>
  <si>
    <t>14-11-2022 NEFT/AXISP00337247391/RIUP22/1251/JANARDAN ORGANI 198000.00</t>
  </si>
  <si>
    <t>Gangarampur Village OHT Construction work 250 kl 12m</t>
  </si>
  <si>
    <t>RIUP22/698</t>
  </si>
  <si>
    <t>07-09-2022 NEFT/AXISP00318202763/RIUP22/698/JANARDAN ORGANIC 297000.00</t>
  </si>
  <si>
    <t>RIUP22/785</t>
  </si>
  <si>
    <t>20-09-2022 NEFT/AXISP00321260568/RIUP22/785/JANARDAN ORGANIC ₹ 2,97,000.00</t>
  </si>
  <si>
    <t>RIUP22/1579</t>
  </si>
  <si>
    <t>20-12-2022 NEFT/AXISP00347623938/RIUP22/1579/JANARDAN ORGANI 148500.00</t>
  </si>
  <si>
    <t>2023 April 07 ---------- Janardam Organic Food Mill ----------- Rs. 50,000 ------------ /AXISP00379707430</t>
  </si>
  <si>
    <t>Kheri Khushnam Village OHT Construction work</t>
  </si>
  <si>
    <t>RIUP22/697</t>
  </si>
  <si>
    <t>07-09-2022 NEFT/AXISP00318202764/RIUP22/697/JANARDAN ORGANIC 297000.00</t>
  </si>
  <si>
    <t>RIUP22/784</t>
  </si>
  <si>
    <t>20-09-2022 NEFT/AXISP00321260567/RIUP22/784/JANARDAN ORGANIC ₹ 2,97,000.00</t>
  </si>
  <si>
    <t>2023 April 07 ------------ Janardan Organic Food Mill ---------- Rs. 1,00,000 ------------ AXISP00379707432</t>
  </si>
  <si>
    <t>Kelashikarpur Village OHT Construction work 200Kl 14 mtr</t>
  </si>
  <si>
    <t xml:space="preserve">GST Release Note </t>
  </si>
  <si>
    <t>RIUP22/537</t>
  </si>
  <si>
    <t>19-08-2022 NEFT/AXISP00312898798/RIUP22/537/JANARDAN ORGANIC 396000.00</t>
  </si>
  <si>
    <t>RIUP22/1123</t>
  </si>
  <si>
    <t>28-10-2022 NEFT/AXISP00332142997/RIUP22/1123/JANARDAN ORGANI 594000.00</t>
  </si>
  <si>
    <t>RIUP23/944</t>
  </si>
  <si>
    <t>28-06-2023 NEFT/AXISP00401570071/RIUP23/944/JANARDAN ORGANIC ₹ 1,98,000.00</t>
  </si>
  <si>
    <t>RIUP23/943</t>
  </si>
  <si>
    <t>28-06-2023 NEFT/AXISP00401570070/RIUP23/943/JANARDAN ORGANIC ₹ 1,98,000.00</t>
  </si>
  <si>
    <t>RIUP23/942</t>
  </si>
  <si>
    <t>28-06-2023 NEFT/AXISP00401570069/RIUP23/942/JANARDAN ORGANIC ₹ 1,98,000.00</t>
  </si>
  <si>
    <t>RIUP23/941</t>
  </si>
  <si>
    <t>28-06-2023 NEFT/AXISP00401570068/RIUP23/941/JANARDAN ORGANIC ₹ 1,98,000.00</t>
  </si>
  <si>
    <t>28-06-2023 NEFT/AXISP00401570067/RIUP23/940/JANARDAN ORGANIC ₹ 1,98,000.00</t>
  </si>
  <si>
    <t>RIUP23/940</t>
  </si>
  <si>
    <t>RIUP23/963</t>
  </si>
  <si>
    <t>30-06-2023 NEFT/AXISP00402152394/RIUP23/963/JANARDAN ORGANIC 247500.00</t>
  </si>
  <si>
    <t>30-06-2023 NEFT/AXISP00402152393/RIUP23/965/JANARDAN ORGANIC 247500.00</t>
  </si>
  <si>
    <t>RIUP23/964</t>
  </si>
  <si>
    <t>30-06-2023 NEFT/AXISP00402152395/RIUP23/964/JANARDAN ORGANIC 198000.00</t>
  </si>
  <si>
    <t>RIUP23/975</t>
  </si>
  <si>
    <t>01-07-2023 NEFT/AXISP00402764249/RIUP23/975/JANARDAN ORGANIC 198000.00</t>
  </si>
  <si>
    <t>03-07-2023 NEFT/AXISP00403218877/RIUP23/992/JANARDAN ORGANIC 99000.00</t>
  </si>
  <si>
    <t>28-07-2023 NEFT/AXISP00410110586/RIUP23/1266A/JANARDAN ORGAN ₹ 1,98,000.00</t>
  </si>
  <si>
    <t>28-07-2023 NEFT/AXISP00410084837/RIUP23/1266/JANARDAN ORGANI 198000.00</t>
  </si>
  <si>
    <t>28-07-2023 NEFT/AXISP00410084838/RIUP23/1265/JANARDAN ORGANI 99000.00</t>
  </si>
  <si>
    <t>28-07-2023 NEFT/AXISP00410084840/RIUP23/1267A/JANARDAN ORGAN 198000.00</t>
  </si>
  <si>
    <t>OR</t>
  </si>
  <si>
    <t>NR</t>
  </si>
  <si>
    <t>Total Paid</t>
  </si>
  <si>
    <t>Balance Payable</t>
  </si>
  <si>
    <t>SITE</t>
  </si>
  <si>
    <t>Work</t>
  </si>
  <si>
    <t>Sub Contractor</t>
  </si>
  <si>
    <t>Shamli - UP</t>
  </si>
  <si>
    <t>28-07-2023 NEFT/AXISP00410084838/RIUP23/1265/JANARDAN ORGANI 99000.01</t>
  </si>
  <si>
    <t>18-07-2023 NEFT/AXISP00407734316/RIUP23/1138/JANARDAN ORGANI 198000.00</t>
  </si>
  <si>
    <t>RIUP23/1138</t>
  </si>
  <si>
    <t>28-07-2023 NEFT/AXISP00410084840/RIUP23/1267A/JANARDAN ORGAN 198000.01</t>
  </si>
  <si>
    <t>18-07-2023 NEFT/AXISP00407734315/RIUP23/1137/JANARDAN ORGANI 99000.00</t>
  </si>
  <si>
    <t>RIUP23/1137</t>
  </si>
  <si>
    <t>25-07-2023 NEFT/AXISP00409456856/RIUP23/1209/JANARDAN FOOD ORG 1,98,000.00</t>
  </si>
  <si>
    <t>RIUP23/1209</t>
  </si>
  <si>
    <t>GST  RELEASE NOTE</t>
  </si>
  <si>
    <t>18-08-2023 NEFT/AXISP00416756585/RIUP23/1617/JANARDAN ORGANI 495000.00</t>
  </si>
  <si>
    <t>18-08-2023 NEFT/AXISP00416756581/RIUP23/1618/JANARDAN ORGANI 495000.00</t>
  </si>
  <si>
    <t>22-09-2023 NEFT/AXISP00426907970/RIUP23/2209/JANARDAN ORGANIC F/UBIN0565750 148500.00</t>
  </si>
  <si>
    <t>27-09-2023 NEFT/AXISP00427962780/RIUP23/2341/JANARDAN ORGANIC F/UBIN0565750 198000.00</t>
  </si>
  <si>
    <t>22-09-2023 NEFT/AXISP00426907971/RIUP23/2210/JANARDAN ORGANIC F/UBIN0565750 148500.00</t>
  </si>
  <si>
    <t>04-11-2023 NEFT/AXISP00440433094/RIUP23/3069/JANARDAN ORGANIC F/UBIN0565750 247500.00</t>
  </si>
  <si>
    <t>04-11-2023 NEFT/AXISP00440433096/RIUP23/3067/JANARDAN ORGANIC F/UBIN0565750 148500.00</t>
  </si>
  <si>
    <t>09-10-2023 NEFT/AXISP004269087465/RIUP23/2598/JANARDAN ORGANIC F/UBIN0565750 297000.00</t>
  </si>
  <si>
    <t>04-11-2023 NEFT/AXISP00440433095/RIUP23/3068/JANARDAN ORGANIC F/UBIN0565750 198000.00</t>
  </si>
  <si>
    <t>04-11-2023 NEFT/AXISP00440433097/RIUP23/3066/JANARDAN ORGANIC F/UBIN0565750 198000.00</t>
  </si>
  <si>
    <t>04-11-2023 NEFT/AXISP00440433098/RIUP23/3065/JANARDAN ORGANIC F/UBIN0565750 198000.00</t>
  </si>
  <si>
    <t>24-11-2023 NEFT/AXISP00446428098/RIUP23/3427/JANARDAN ORGANICF/UBIN0565750 247500.00</t>
  </si>
  <si>
    <t>30-11-2023 NEFT/AXISP00447919700/RIUP23/3543/JANARDAN ORGANIC F/UBIN0565750 198000.00</t>
  </si>
  <si>
    <t>30-11-2023 NEFT/AXISP00447919701/RIUP23/3544/JANARDAN ORGANIC F/UBIN0565750 297000.00</t>
  </si>
  <si>
    <t>04-12-2023 NEFT/AXISP00447851236/RIUP23/3591/JANARDAN ORGANIC F/UBIN0565750 297000.00</t>
  </si>
  <si>
    <t>30-11-2023 NEFT/AXISP00447919702/RIUP23/3545/JANARDAN ORGANIC F/UBIN0565750 99000.00</t>
  </si>
  <si>
    <t>07-12-2023 NEFT/AXISP00450593583/RIUP23/3642/JANARDAN ORGANIC F/UBIN0565750 1,48,500.00</t>
  </si>
  <si>
    <t>11-12-2023 NEFT/AXISP00451739033/RIUP23/3687/JANARDAN ORGANICF/UBIN0565750 99000.00</t>
  </si>
  <si>
    <t>13-12-2023 NEFT/AXISP00452475687/RIUP23/3704/JANARDAN ORGANICF/UBIN0565750 99000.00</t>
  </si>
  <si>
    <t>13-12-2023 NEFT/AXISP00452475688/RIUP23/3705/JANARDAN ORGANICF/UBIN0565750 99000.00</t>
  </si>
  <si>
    <t>13-12-2023 NEFT/AXISP00452475689/RIUP23/3706/JANARDAN ORGANICF/UBIN0565750 297000.00</t>
  </si>
  <si>
    <t>19-12-2023 NEFT/AXISP00454126209/RIUP23/3870/JANARDAN ORGANICF/UBIN0565750 495000.00</t>
  </si>
  <si>
    <t xml:space="preserve"> </t>
  </si>
  <si>
    <t>21-12-2023 NEFT/AXISP00454518238/RIUP23/3882/JANARDAN ORGANICF/UBIN0565750 495000.00</t>
  </si>
  <si>
    <t>21-12-2023 NEFT/AXISP00454518237/RIUP23/3881/JANARDAN ORGANICF/UBIN0565750 148500.00</t>
  </si>
  <si>
    <t>21-12-2023 NEFT/AXISP00454518236/RIUP23/3880/JANARDAN ORGANICF/UBIN0565750 148500.00</t>
  </si>
  <si>
    <t>24-11-2023 NEFT/AXISP00446428099/RIUP23/3428/JANARDAN ORGANICF/UBIN0565750 247500.00</t>
  </si>
  <si>
    <t>02-01-2024 NEFT/AXISP00458541611/RIUP23/4077/JANARDAN ORGANIC F/UBIN0565750 495000.00</t>
  </si>
  <si>
    <t>02-01-2024 NEFT/AXISP00458541610/RIUP23/4076/JANARDAN ORGANIC F/UBIN0565750 495000.00</t>
  </si>
  <si>
    <t>06-01-2024 NEFT/AXISP00460249928/RIUP23/4145/JANARDAN ORGANICF/UBIN0565750 495000.00</t>
  </si>
  <si>
    <t>09-01-2024 NEFT/AXISP00460826673/RIUP23/4169/JANARDAN ORGANICF/UBIN0565750 495000.00</t>
  </si>
  <si>
    <t>06-01-2024 NEFT/AXISP00460249929/RIUP23/4144/JANARDAN ORGANICF/UBIN0565750 495000.00</t>
  </si>
  <si>
    <t>10-01-2024 NEFT/AXISP00461403095/RIUP23/4222/JANARDAN ORGANIC F/UBIN0565750 495000.00</t>
  </si>
  <si>
    <t>10-01-2024 NEFT/AXISP00461403096/RIUP23/4221/JANARDAN ORGANIC F/UBIN0565750 990000.00</t>
  </si>
  <si>
    <t>16-01-2024 NEFT/AXISP00462907344/RIUP23/4276/JANARDAN ORGANICF/UBIN0565750 495000.00</t>
  </si>
  <si>
    <t>17-01-2024 NEFT/AXISP00463195075/RIUP23/4344/JANARDAN ORGANIC F/UBIN0565750 495000.00</t>
  </si>
  <si>
    <t xml:space="preserve">Hold Amount </t>
  </si>
  <si>
    <t>Advance Village Wise</t>
  </si>
  <si>
    <t>02-02-2024 NEFT/AXISP00467758854/RIUP23/4561/JANARDAN ORGANICF/UBIN0565750 990000.00</t>
  </si>
  <si>
    <t>02-02-2024 NEFT/AXISP00467758855/RIUP23/4560/JANARDAN ORGANIC F/UBIN0565750 990000.00</t>
  </si>
  <si>
    <t>Nanupuri - 50 KL 12 mtr</t>
  </si>
  <si>
    <t>Jasala - 425 KL 12 mtr</t>
  </si>
  <si>
    <t>Bharsi - 300 Kl 12 mtr</t>
  </si>
  <si>
    <t>Gandharv - 300 KL 12 mtr</t>
  </si>
  <si>
    <t>Grahi Hasanpur Village -  400 KL 14 mtr</t>
  </si>
  <si>
    <t>Bhogimazra - 100 KL 10 Mtr</t>
  </si>
  <si>
    <t>Kandhala Dehat - 500 KL 16 mtr</t>
  </si>
  <si>
    <t>Harsana - 225 KL 12 mtr</t>
  </si>
  <si>
    <t>Khertu - 225 KL 12 mtr</t>
  </si>
  <si>
    <t>22-02-2024 NEFT/AXISP00473278700/RIUP23/4808/JANARDAN ORGANICF/UBIN0565750 297000.00</t>
  </si>
  <si>
    <t>Ballamazara - 225 KL 12 Mtr</t>
  </si>
  <si>
    <t>Khera Bhau Singhalika - 150 Kl 160 mtr</t>
  </si>
  <si>
    <t>Tana Village - Isuue closed - Duplicate issue</t>
  </si>
  <si>
    <t>Bidauli - 300 KL 14 mtr</t>
  </si>
  <si>
    <t>Islampur Ghausali - 325 KL 16 Mtr</t>
  </si>
  <si>
    <t>Rajhar Village-  350 KL 14 mtr</t>
  </si>
  <si>
    <t xml:space="preserve"> Nojal najli - 275 KL 16 mtr</t>
  </si>
  <si>
    <t>Panthupura  Village - 225 KL 16 Mtr</t>
  </si>
  <si>
    <t>Nanagli - 2245 KL 14 mtr</t>
  </si>
  <si>
    <t xml:space="preserve">Debit  Remaining </t>
  </si>
  <si>
    <t>23-02-2024 NEFT/AXISP00473620338/RIUP23/4823/JANARDAN ORGANIC F/UBIN0565750 ₹ 3,96,000.00</t>
  </si>
  <si>
    <t>06-03-2024 NEFT/AXISP00477669928/RIUP23/5005/JANARDAN ORGANICF/UBIN0565750 495000.00</t>
  </si>
  <si>
    <t>06-03-2024 NEFT/AXISP00477669929/RIUP23/5006/JANARDAN ORGANICF/UBIN0565750 495000.00</t>
  </si>
  <si>
    <t>18-03-2024 NEFT/AXISP00481766498/RIUP23/5161/JANARDAN ORGANICF/UBIN0565750 495000.00</t>
  </si>
  <si>
    <t>21-03-2024 NEFT/AXISP00483037811/RIUP23/5230/JANARDAN ORGANICF/UBIN0565750 198000.00</t>
  </si>
  <si>
    <t>16-03-2024 NEFT/AXISP00481604511/RIUP23/5158/JANARDAN ORGANICF/UBIN0565750 495000.00</t>
  </si>
  <si>
    <t>16-04-2024 NEFT/AXISP00491676958/RIUP24/0165/JANARDAN ORGANICF/UBIN0565750 990000.00</t>
  </si>
  <si>
    <t>16-04-2024 NEFT/AXISP00491676959/RIUP24/0164/JANARDAN ORGANICF/UBIN0565750 990000.00</t>
  </si>
  <si>
    <t>25-04-2024 NEFT/AXISP00493861225/RIUP24/0311/JANARDAN ORGANICF/UBIN0565750 475000.00</t>
  </si>
  <si>
    <t>25-04-2024 NEFT/AXISP00493861226/RIUP24/0312/JANARDAN ORGANICF/UBIN0565750 475000.00</t>
  </si>
  <si>
    <t>25-04-2024 NEFT/AXISP00493861228/RIUP24/0314/JANARDAN ORGANICF/UBIN0565750 475000.00</t>
  </si>
  <si>
    <t>25-04-2024 NEFT/AXISP00493861227/RIUP24/0313/JANARDAN ORGANICF/UBIN0565750 475000.00</t>
  </si>
  <si>
    <t>26-04-2024 NEFT/AXISP00493934371/RIUP24/0323/JANARDAN ORGANICF/UBIN0565750 475000.00</t>
  </si>
  <si>
    <t>04-05-2024 NEFT/AXISP00496939375/RIUP24/0390/JANARDAN ORGANICF/UBIN0565750 380000.00</t>
  </si>
  <si>
    <t>04-05-2024 NEFT/AXISP00496939374/RIUP24/0389/JANARDAN ORGANICF/UBIN0565750 190000.00</t>
  </si>
  <si>
    <t>07-05-2024 NEFT/AXISP00497850345/RIUP24/0399/JANARDAN ORGANICF/UBIN0565750 285000.00</t>
  </si>
  <si>
    <t>14-05-2024 NEFT/AXISP00499706371/RIUP24/0481/JANARDAN ORGANICF/UBIN0565750 190000.00</t>
  </si>
  <si>
    <t>14-05-2024 NEFT/AXISP00499706370/RIUP24/0480/JANARDAN ORGANICF/UBIN0565750 190000.00</t>
  </si>
  <si>
    <t>07-05-2024 NEFT/AXISP00497850357/RIUP24/0398/JANARDAN ORGANICF/UBIN0565750 475000.00</t>
  </si>
  <si>
    <t>18-05-2024 NEFT/AXISP00501160943/RIUP24/0568/JANARDAN ORGANICF/UBIN0565750 475000.00</t>
  </si>
  <si>
    <t>18-05-2024 NEFT/AXISP00501160944/RIUP24/0567/JANARDAN ORGANICF/UBIN0565750 475000.00</t>
  </si>
  <si>
    <t>24-05-2024 NEFT/AXISP00502671114/RIUP24/0606/JANARDAN ORGANICF/UBIN0565750 475000.00</t>
  </si>
  <si>
    <t>24-05-2024 NEFT/AXISP00502671115/RIUP24/0605/JANARDAN ORGANICF/UBIN0565750 475000.00</t>
  </si>
  <si>
    <t>24-05-2024 NEFT/AXISP00502671116/RIUP24/0604/JANARDAN ORGANICF/UBIN0565750 475000.00</t>
  </si>
  <si>
    <t>30-05-2024 NEFT/AXISP00503666361/RIUP24/0652/JANARDAN ORGANICF/UBIN0565750 950000.00</t>
  </si>
  <si>
    <t>06-06-2024 NEFT/AXISP00506791469/RIUP24/0772/JANARDAN ORGANIC F/UBIN0565750 990000.00</t>
  </si>
  <si>
    <t>06-06-2024 NEFT/AXISP00506791470/RIUP24/0773/JANARDAN ORGANICF/UBIN0565750 990000.00</t>
  </si>
  <si>
    <t>21-06-2024 NEFT/AXISP00511014639/RIUP24/0943/JANARDAN ORGANICF/UBIN0565750 495000.00</t>
  </si>
  <si>
    <t>21-06-2024 NEFT/AXISP00511014638/RIUP24/0942/JANARDAN ORGANICF/UBIN0565750 495000.00</t>
  </si>
  <si>
    <t>26-06-2024 NEFT/AXISP00512082480/RIUP24/0941/JANARDAN ORGANICF/UBIN0565750 990000.00</t>
  </si>
  <si>
    <t>27-06-2024 NEFT/AXISP00512319351/RIUP24/0940/JANARDAN ORGANICF/UBIN0565750 990000.00</t>
  </si>
  <si>
    <t>30-05-2024 NEFT/AXISP00503666362/RIUP24/0653/JANARDAN ORGANICF/UBIN0565750 570000.00</t>
  </si>
  <si>
    <t>01-06-2024 NEFT/AXISP00505116439/RIUP24/0731/JANARDAN ORGANIC F/UBIN0565750 495000.00</t>
  </si>
  <si>
    <t>11-07-2024 NEFT/AXISP00517806265/RIUP24/1089/JANARDAN ORGANICF/UBIN0565750 495000.00</t>
  </si>
  <si>
    <t>11-07-2024 NEFT/AXISP00517806264/RIUP24/1088/JANARDAN ORGANICF/UBIN0565750 495000.00</t>
  </si>
  <si>
    <t>19-07-2024 NEFT/AXISP00519907624/RIUP24/1184/JANARDAN ORGANICF/UBIN0565750 495000.00</t>
  </si>
  <si>
    <t>130,12</t>
  </si>
  <si>
    <t>59, 207</t>
  </si>
  <si>
    <t>53, 201</t>
  </si>
  <si>
    <t>55, 203</t>
  </si>
  <si>
    <t>109, 250</t>
  </si>
  <si>
    <t>140, 24</t>
  </si>
  <si>
    <t>GST</t>
  </si>
  <si>
    <t>84, 185, &amp; 217</t>
  </si>
  <si>
    <t>129, 11</t>
  </si>
  <si>
    <t>31, 187</t>
  </si>
  <si>
    <t>145,26</t>
  </si>
  <si>
    <t>116, 1</t>
  </si>
  <si>
    <t>16-07-2024 NEFT/AXISP00519021119/RIUP24/1140/JANARDAN ORGANICF/UBIN0565750 495000.00</t>
  </si>
  <si>
    <t>115, 2</t>
  </si>
  <si>
    <t>89, 232</t>
  </si>
  <si>
    <t>16-07-2024 NEFT/AXISP00519021117/RIUP24/1139/JANARDAN ORGANICF/UBIN0565750 495000.00</t>
  </si>
  <si>
    <t>146, 27</t>
  </si>
  <si>
    <t>104, 245</t>
  </si>
  <si>
    <t>90, 231</t>
  </si>
  <si>
    <t>111, 251</t>
  </si>
  <si>
    <t>19-07-2024 NEFT/AXISP00519907623/RIUP24/1183/JANARDAN ORGANICF/UBIN0565750 495000.00</t>
  </si>
  <si>
    <t>117, 3</t>
  </si>
  <si>
    <t>141, 22</t>
  </si>
  <si>
    <t>142, 23</t>
  </si>
  <si>
    <t>19-07-2024 NEFT/AXISP00519907625/RIUP24/1185/JANARDAN ORGANICF/UBIN0565750 495000.00</t>
  </si>
  <si>
    <t>19-07-2024 NEFT/AXISP00519907626/RIUP24/1186/JANARDAN ORGANICF/UBIN0565750 495000.00</t>
  </si>
  <si>
    <t>19-07-2024 NEFT/AXISP00519907628/RIUP24/1187/JANARDAN ORGANICF/UBIN0565750 495000.00</t>
  </si>
  <si>
    <t>19-07-2024 NEFT/AXISP00519907629/RIUP24/1188/JANARDAN ORGANICF/UBIN0565750 495000.00</t>
  </si>
  <si>
    <t>144, 25</t>
  </si>
  <si>
    <t>26-07-2024 NEFT/AXISP00521556658/RIUP24/1270/JANARDAN ORGANICF/UBIN0565750 297000.00</t>
  </si>
  <si>
    <t>26-07-2024 NEFT/AXISP00521556657/RIUP24/1258/JANARDAN ORGANICF/UBIN0565750 297000.00</t>
  </si>
  <si>
    <t>31-07-2024 NEFT/AXISP00522546968/RIUP24/1272/JANARDAN ORGANICF/UBIN0565750 297000.00</t>
  </si>
  <si>
    <t>31-07-2024 NEFT/AXISP00522546967/RIUP24/1271/JANARDAN ORGANICF/UBIN0565750 198000.00</t>
  </si>
  <si>
    <t>01-08-2024 NEFT/AXISP00523998744/RIUP24/1336/JANARDAN ORGANICF/UBIN0565750 495000.00</t>
  </si>
  <si>
    <t>213, 204, 228</t>
  </si>
  <si>
    <t>GSB</t>
  </si>
  <si>
    <t>03-08-2024 NEFT/AXISP00524659747/RIUP24/1371/JANARDAN ORGANICF/UBIN0565750 495000.00</t>
  </si>
  <si>
    <t>188,250,24</t>
  </si>
  <si>
    <t>41, 158</t>
  </si>
  <si>
    <t>160, 39</t>
  </si>
  <si>
    <t>01-08-2024 NEFT/AXISP00523998745/RIUP24/1337/JANARDAN ORGANICF/UBIN0565750 396000.00</t>
  </si>
  <si>
    <t>01-08-2024 NEFT/AXISP00523998742/RIUP24/1334/JANARDAN ORGANICF/UBIN0565750 495000.00</t>
  </si>
  <si>
    <t>01-08-2024 NEFT/AXISP00523998743/RIUP24/1335/JANARDAN ORGANICF/UBIN0565750 495000.00</t>
  </si>
  <si>
    <t>159, 38</t>
  </si>
  <si>
    <t>31-07-2024 NEFT/AXISP00522966394/RIUP24/1303/JANARDAN ORGANICF/UBIN0565750 198000.00</t>
  </si>
  <si>
    <t>143, 21</t>
  </si>
  <si>
    <t>161, 40</t>
  </si>
  <si>
    <t>14-08-2024 NEFT/AXISP00528230422/RIUP24/1437/JANARDAN ORGANIC F/UBIN0565750 495000.00</t>
  </si>
  <si>
    <t>14-08-2024 NEFT/AXISP00528230423/RIUP24/1438/JANARDAN ORGANIC F/UBIN0565750 495000.00</t>
  </si>
  <si>
    <t>17-08-2024 NEFT/AXISP00589654789/RIUP24/1486/JANARDAN ORGANIC ₹ 495000.00</t>
  </si>
  <si>
    <t>21-08-2024 NEFT/AXISP00530581002/RIUP24/1518/JANARDAN ORGANIC F/UBIN0565750 990000.00</t>
  </si>
  <si>
    <t>22-08-2024 NEFT/AXISP00531016566/RIUP24/1519/JANARDAN ORGANIC F/UBIN0565750 990000.00</t>
  </si>
  <si>
    <t>21-08-2024 NEFT/AXISP00530601965/RIUP24/1485/JANARDAN ORGANIC F/UBIN0565750 495000.00</t>
  </si>
  <si>
    <t>27-08-2024 NEFT/AXISP00532290647/RIUP24/1539/JANARDAN ORGANICF/UBIN0565750 297000.00</t>
  </si>
  <si>
    <t>23-08-2024
NEFT/AXISP00531577845/SKUP24/159/JANARDAN ORGANIC
F/UBIN0565750 495000.00</t>
  </si>
  <si>
    <t>23-08-2024NEFT/AXISP00531577846/SKUP24/165/JANARDAN ORGANICF/UBIN0565750 495000.00</t>
  </si>
  <si>
    <t>Approval on Whatsapp Dt.30-08-2024.
30-08-2024 NEFT/AXISP00533733866/RIUP24/1587/JANARDAN ORGANICF/UBIN0565750 990000.00</t>
  </si>
  <si>
    <t>03-09-2024 NEFT/AXISP00535722995/RIUP24/1610/JANARDAN ORGANICF/UBIN0565750 198000.00</t>
  </si>
  <si>
    <t>03-09-2024 NEFT/AXISP00535722994/RIUP24/1609/JANARDAN ORGANIC F/UBIN0565750 198000.00</t>
  </si>
  <si>
    <t>03-09-2024 NEFT/AXISP00535722993/RIUP24/1608/JANARDAN ORGANICF/UBIN0565750 297000.00</t>
  </si>
  <si>
    <t>02-09-2024 NEFT/AXISP00535241238/RIUP24/1586/JANARDAN ORGANICF/UBIN0565750 495000.00</t>
  </si>
  <si>
    <t>02-09-2024 NEFT/AXISP00535241237/RIUP24/1585/JANARDAN ORGANICF/UBIN0565750 495000.00</t>
  </si>
  <si>
    <t>06-09-2024 NEFT/AXISP00537295297/RIUP24/1670/JANARDAN ORGANICF/UBIN0565750 495000.00</t>
  </si>
  <si>
    <t>06-09-2024 NEFT/AXISP00537295298/RIUP24/1671/JANARDAN ORGANICF/UBIN0565750 495000.00</t>
  </si>
  <si>
    <t>06-09-2024 NEFT/AXISP00537295299/RIUP24/1672/JANARDAN ORGANICF/UBIN0565750 495000.00</t>
  </si>
  <si>
    <t>06-09-2024 NEFT/AXISP00537295300/RIUP24/1673/JANARDAN ORGANICF/UBIN0565750 495000.00</t>
  </si>
  <si>
    <t>06-09-2024 NEFT/AXISP00537295301/RIUP24/1674/JANARDAN ORGANICF/UBIN0565750 495000.00</t>
  </si>
  <si>
    <t>13-09-2024 NEFT/AXISP00540477808/RIUP24/1774/JANARDAN ORGANICF/UBIN0565750 198000.00</t>
  </si>
  <si>
    <t>13-09-2024 NEFT/AXISP00540414561/RIUP24/1779/JANARDAN ORGANICF/UBIN0565750 198000.00</t>
  </si>
  <si>
    <t>17-09-2024 NEFT/AXISP00541269866/RIUP24/1814/JANARDAN ORGANICF/UBIN0565750 396000.00</t>
  </si>
  <si>
    <t>17-09-2024 NEFT/AXISP00541269864/RIUP24/1815/JANARDAN ORGANICF/UBIN0565750 297000.00</t>
  </si>
  <si>
    <t>17-09-2024 NEFT/AXISP00541269862/RIUP24/1816/JANARDAN ORGANICF/UBIN0565750 297000.00</t>
  </si>
  <si>
    <t>19-09-2024 NEFT/AXISP00542202586/RIUP24/1859/JANARDAN ORGANICF/UBIN0565750 297000.00</t>
  </si>
  <si>
    <t>19-09-2024 NEFT/AXISP00542202587/RIUP24/1858/JANARDAN ORGANICF/UBIN0565750 99000.00</t>
  </si>
  <si>
    <t>19-09-2024 NEFT/AXISP00542202589/RIUP24/1856/JANARDAN ORGANICF/UBIN0565750 198000.00</t>
  </si>
  <si>
    <t>19-09-2024 NEFT/AXISP00542202590/RIUP24/1855/JANARDAN ORGANICF/UBIN0565750 198000.00</t>
  </si>
  <si>
    <t>Amount with TDS</t>
  </si>
  <si>
    <t>BOQ Amount</t>
  </si>
  <si>
    <t>Balance against BOQ</t>
  </si>
  <si>
    <t>20-09-2024 NEFT/AXISP00542641363/RIUP24/1875/JANARDAN ORGANICF/UBIN0565750 198000.00</t>
  </si>
  <si>
    <t>20-09-2024 NEFT/AXISP00542641364/RIUP24/1876/JANARDAN ORGANICF/UBIN0565750 297000.00</t>
  </si>
  <si>
    <t>20-09-2024 NEFT/AXISP00542641365/RIUP24/1877/JANARDAN ORGANICF/UBIN0565750 198000.00</t>
  </si>
  <si>
    <t>20-09-2024 NEFT/AXISP00542641366/RIUP24/1878/JANARDAN ORGANICF/UBIN0565750 198000.00</t>
  </si>
  <si>
    <t>24-09-2024 NEFT/AXISP00543503653/RIUP24/1912/JANARDAN ORGANICF/UBIN0565750 297000.00</t>
  </si>
  <si>
    <t>24-09-2024 NEFT/AXISP00543503652/RIUP24/1911/JANARDAN ORGANICF/UBIN0565750 396000.00</t>
  </si>
  <si>
    <t>24-09-2024 NEFT/AXISP00543503651/RIUP24/1910/JANARDAN ORGANICF/UBIN0565750 198000.00</t>
  </si>
  <si>
    <t>JANARDAN ORGANIC FOOD MILLS</t>
  </si>
  <si>
    <t>SHAMLI</t>
  </si>
  <si>
    <t>27-09-2024 NEFT/AXISP00544997299/RIUP24/1951/JANARDAN ORGANICF/UBIN0565750 396000.00</t>
  </si>
  <si>
    <t>27-09-2024 NEFT/AXISP00544997300/RIUP24/1952/JANARDAN ORGANICF/UBIN0565750 198000.00</t>
  </si>
  <si>
    <t>27-09-2024 NEFT/AXISP00544997301/RIUP24/1953/JANARDAN ORGANICF/UBIN0565750 198000.00</t>
  </si>
  <si>
    <t>27-09-2024 NEFT/AXISP00544997302/RIUP24/1954/JANARDAN ORGANICF/UBIN0565750 297000.00</t>
  </si>
  <si>
    <t>27-09-2024 NEFT/AXISP00544997303/RIUP24/1955/JANARDAN ORGANICF/UBIN0565750 297000.00</t>
  </si>
  <si>
    <t>01-10-2024 NEFT/AXISP00547359349/RIUP24/2027/JANARDAN ORGANICF/UBIN0565750 495000.00</t>
  </si>
  <si>
    <t>01-10-2024 NEFT/AXISP00547359348/RIUP24/2026/JANARDAN ORGANICF/UBIN0565750 495000.00</t>
  </si>
  <si>
    <t>01-10-2024 NEFT/AXISP00547359347/RIUP24/2025/JANARDAN ORGANICF/UBIN0565750 792000.00</t>
  </si>
  <si>
    <t>01-10-2024 NEFT/AXISP00547359346/RIUP24/2024/JANARDAN ORGANICF/UBIN0565750 594000.00</t>
  </si>
  <si>
    <t>Ankshri work is doing - close the issue</t>
  </si>
  <si>
    <t>03-10-2024 NEFT/AXISP00548259337/RIUP24/2094/JANARDAN ORGANICF/UBIN0565750 297000.00</t>
  </si>
  <si>
    <t>04-10-2024 NEFT/AXISP00548955240/RIUP24/2115/JANARDAN ORGANICF/UBIN0565750 297000.00</t>
  </si>
  <si>
    <t>04-10-2024 NEFT/AXISP00548955242/RIUP24/2116/JANARDAN ORGANICF/UBIN0565750 495000.00</t>
  </si>
  <si>
    <t>04-10-2024 NEFT/AXISP00548955244/RIUP24/2117/JANARDAN ORGANICF/UBIN0565750 198000.00</t>
  </si>
  <si>
    <t>11-10-2024 NEFT/AXISP00552724055/RIUP24/2187/JANARDAN ORGANIC F/UBIN0565750 198000.0</t>
  </si>
  <si>
    <t>11-10-2024 NEFT/AXISP00552724054/RIUP24/2186/JANARDAN ORGANIC F/UBIN0565750 198000.0</t>
  </si>
  <si>
    <t>11-10-2024 NEFT/AXISP00552723371/RIUP24/2185/JANARDAN ORGANIC F/UBIN0565750 198000.00</t>
  </si>
  <si>
    <t>11-10-2024 NEFT/AXISP00552723370/RIUP24/2184/JANARDAN ORGANIC F/UBIN0565750 198000.00</t>
  </si>
  <si>
    <t>16-10-2024 NEFT/AXISP00554277922/RIUP24/2222/JANARDAN ORGANICF/UBIN0565750 495000.00</t>
  </si>
  <si>
    <t>17-10-2024 NEFT/AXISP00554849807/RIUP24/2223/JANARDAN ORGANICF/UBIN0565750 198000.00</t>
  </si>
  <si>
    <t>29-10-2024 NEFT/AXISP00559829077/RIUP24/2287/JANARDAN ORGANICF/UBIN0565750 495000.00</t>
  </si>
  <si>
    <t>29-10-2024 NEFT/AXISP00560462659/RIUP24/2288/JANARDAN ORGANICF/UBIN0565750 495000.00</t>
  </si>
  <si>
    <t>30-10-2024 NEFT/AXISP00561828557/RIUPP24/2383/JANARDAN ORGANICF/UBIN0565750 495000.00</t>
  </si>
  <si>
    <t>30-10-2024 NEFT/AXISP00561828556/RIUPP24/2382/JANARDAN ORGANICF/UBIN0565750 495000.00</t>
  </si>
  <si>
    <t>30-10-2024 NEFT/AXISP00561828555/RIUPP24/2381/JANARDAN ORGANICF/UBIN0565750 495000.00</t>
  </si>
  <si>
    <t>08-11-2024 NEFT/AXISP00566570856/RIUP24/2433/JANARDAN ORGANICF/UBIN0565750 396000.00</t>
  </si>
  <si>
    <t>08-11-2024 NEFT/AXISP00566570855/RIUP24/2432/JANARDAN ORGANICF/UBIN0565750 297000.00</t>
  </si>
  <si>
    <t>08-11-2024 NEFT/AXISP00566570854/RIUP24/2431/JANARDAN ORGANICF/UBIN0565750 297000.00</t>
  </si>
  <si>
    <t>12-11-2024 NEFT/AXISP00568034787/RIUP24/2434/JANARDAN ORGANICF/UBIN0565750 396000.00</t>
  </si>
  <si>
    <t>14-11-2024 NEFT/AXISP00569818228/RIUP24/2452/JANARDAN ORGANICF/UBIN0565750 396000.00</t>
  </si>
  <si>
    <t>14-11-2024 NEFT/AXISP00569818227/RIUP24/2451/JANARDAN ORGANICF/UBIN0565750 396000.00</t>
  </si>
  <si>
    <t>16-11-2024 NEFT/AXISP00570981025/RIUP24/2519/JANARDAN ORGANICF/UBIN0565750 495000.00</t>
  </si>
  <si>
    <t>16-11-2024 NEFT/AXISP00570981026/RIUP24/2518/JANARDAN ORGANICF/UBIN0565750 495000.00</t>
  </si>
  <si>
    <t>21-11-2024 NEFT/AXISP00572732447/RIUP24/2529/JANARDAN ORGANICF/UBIN0565750 495000.00</t>
  </si>
  <si>
    <t>21-11-2024 NEFT/AXISP00572732448/RIUP24/2530/JANARDAN ORGANICF/UBIN0565750 495000.00</t>
  </si>
  <si>
    <t>22-11-2024 NEFT/AXISP00573604258/RIUP24/2517/JANARDAN ORGANIC F/UBIN0565750 495000.00</t>
  </si>
  <si>
    <t>22-11-2024 NEFT/AXISP00573604260/RIUP24/2488/JANARDAN ORGANIC F/UBIN0565750 297000.00</t>
  </si>
  <si>
    <t xml:space="preserve">
22-11-2024 NEFT/AXISP00573604259/RIUP24/2487/JANARDAN ORGANIC F/UBIN0565750 693000.00</t>
  </si>
  <si>
    <t>28-11-2024 NEFT/AXISP00575677760/RIUP24/2490/JANARDAN ORGANICF/UBIN0565750 297000.00</t>
  </si>
  <si>
    <t>28-11-2024 NEFT/AXISP00575677758/RIUP24/2528/JANARDAN ORGANICF/UBIN0565750 495000.00</t>
  </si>
  <si>
    <t>28-11-2024 NEFT/AXISP00575677759/RIUP24/2489/JANARDAN ORGANICF/UBIN0565750 198000.00</t>
  </si>
  <si>
    <t>29-11-2024 NEFT/AXISP00576725432/RIUP24/2491/JANARDAN ORGANIC F/UBIN0565750 495000.00</t>
  </si>
  <si>
    <t>03-12-2024 NEFT/AXISP00579206616/RIUP24/2583/JANARDAN ORGANICF/UBIN0565750 495000.00</t>
  </si>
  <si>
    <t>03-12-2024 NEFT/AXISP00579206615/RIUP24/2582/JANARDAN ORGANICF/UBIN0565750 495000.00</t>
  </si>
  <si>
    <t>Kelashikarpur Village OHT  200Kl 14 mtr</t>
  </si>
  <si>
    <t>05-12-2024 NEFT/AXISP00580318074/RIUP24/2585/JANARDAN ORGANICF/UBIN0565750 495000.00</t>
  </si>
  <si>
    <t>05-12-2024 NEFT/AXISP00580318073/RIUP24/2584/JANARDAN ORGANICF/UBIN0565750 495000.00</t>
  </si>
  <si>
    <t>20-12-2024 NEFT/AXISP00587058625/RIUP24/2718/JANARDAN ORGANICF/UBIN0565750 495000.00</t>
  </si>
  <si>
    <t>23-12-2024 NEFT/AXISP00587800976/RIUP24/2674/JANARDAN ORGANICF/UBIN0565750 297000.00</t>
  </si>
  <si>
    <t>26-12-2024 Debit N/RIUP24/2765/JANARDAN ORGAN/INDBN26123786920 594000.0</t>
  </si>
  <si>
    <t>26-12-2024 Debit N/RIUP24/2766/JANARDAN ORGAN/INDBN26123786892 297000.0</t>
  </si>
  <si>
    <t>26-12-2024 Debit N/RIUP24/2768/JANARDAN ORGAN/INDBN26123786891 297000.0</t>
  </si>
  <si>
    <t>30-12-2024 Debit N/RIUP24/2767/JANARDAN ORGAN/INDBN30124223032 297000.0</t>
  </si>
  <si>
    <t>01-02-2025 NEFT/AXISP00607246308/RIUP24/3038/JANARDAN ORGANICF/UBIN0565750 198000.00</t>
  </si>
  <si>
    <t>01-02-2025 NEFT/AXISP00607246304/RIUP24/3037/JANARDAN ORGANICF/UBIN0565750 198000.00</t>
  </si>
  <si>
    <t>03-02-2025 NEFT/AXISP00609353055/RIUP24/3077/JANARDAN ORGANICF/UBIN0565750 198000.00</t>
  </si>
  <si>
    <t>Janardan Organic Food Mill Shamli</t>
  </si>
  <si>
    <t>04-02-2025 NEFT/AXISP00610028548/RIUP24/3076/JANARDAN ORGANICF/UBIN0565750 99000.00</t>
  </si>
  <si>
    <t>04-02-2025 NEFT/AXISP00610028546/RIUP24/3074/JANARDAN ORGANICF/UBIN0565750 99000.00</t>
  </si>
  <si>
    <t>04-02-2025 NEFT/AXISP00610028545/RIUP24/3073/JANARDAN ORGANICF/UBIN0565750 99000.00</t>
  </si>
  <si>
    <t>04-02-2025 NEFT/AXISP00610028544/RIUP24/3072/JANARDAN ORGANICF/UBIN0565750 99000.00</t>
  </si>
  <si>
    <t>Issue No</t>
  </si>
  <si>
    <t xml:space="preserve"> OHT 50KL 14MTR VILLAGE-CHADHAW-BLOCK-KANDHLA</t>
  </si>
  <si>
    <t>06-02-2025 NEFT/AXISP00611646445/RIUP24/3117/JANARDAN ORGANICF/UBIN0565750 99000.00</t>
  </si>
  <si>
    <t>28-11-2024 NEFT/AXISP00575677758/RIUP24/2531/JANARDAN ORGANICF/UBIN0565750 495000.00</t>
  </si>
  <si>
    <t>14-02-2025 NEFT/AXISP00616404585/RIUP24/3166/JANARDAN ORGANICF/UBIN0565750 495000.00</t>
  </si>
  <si>
    <t>14-02-2025 NEFT/AXISP00616404584/RIUP24/3165/JANARDAN ORGANICF/UBIN0565750 500000.00</t>
  </si>
  <si>
    <t>BALANCE OHT 75KL 12MTR  AT VILLAGE KANDHLA DEHAT(SALEMPUR)-BLOCK-KANDHLA</t>
  </si>
  <si>
    <t xml:space="preserve"> BALANCE OHT 150KL 12MTR  AT VILLAGE JALALBAD RURAL -BLOCK-THANABHAWAN</t>
  </si>
  <si>
    <t>BALANCE OHT 300KL 12MTR  VILLAGE ISSOPUR TEEL-BLOCK-KANDHLA</t>
  </si>
  <si>
    <t>21-02-2025 NEFT/AXISP00620410331/RIUP24/3193/JANARDAN ORGANICF/UBIN0565750 990000.00</t>
  </si>
  <si>
    <t xml:space="preserve">BALANCE OHT 250KL 14MTR  AT VILLAGE MALAKPUR -BLOCK-KANDHLA </t>
  </si>
  <si>
    <t>BALANCE OHT 425KL 14MTR  AT VILLAGE -JAMALPUR BLOCK-UNN</t>
  </si>
  <si>
    <t>BALANCE OHT 150KL 12MTR  AT VILLAGE MULLAPUR -THANABHAWAN</t>
  </si>
  <si>
    <t>BALANCE OHT 175KL 12MTR  AT VILLAGE MIMLA TALAB -KANDHLA</t>
  </si>
  <si>
    <t>BALANCE OHT 275KL 14MTR  AT VILLAGE AMBETHA RIDAN-UNN</t>
  </si>
  <si>
    <t xml:space="preserve"> BALANCE OHT 175KL 16MTR  AT VILLAGE NAI NAGLA NAVIN -UNN</t>
  </si>
  <si>
    <t>25-02-2025 NEFT/AXISP00621878581/RIUP24/3187/JANARDAN ORGANICF/UBIN0565750 99000.00</t>
  </si>
  <si>
    <t>25-02-2025 NEFT/AXISP00621878579/RIUP24/3186a/JANARDAN ORGANICF/UBIN0565750 198000.00</t>
  </si>
  <si>
    <t>25-02-2025 NEFT/AXISP00621878577/RIUP24/3185/JANARDAN ORGANICF/UBIN0565750 198000.00</t>
  </si>
  <si>
    <t>BALANCE OHT 100KL 12MTR  AT VILLAGE BIBIPUR JALALABAD-UNN</t>
  </si>
  <si>
    <t>BALANCE OHT 200KL 14MTR  AT VILLAGE DARGAHPUR-BLOCK-UNN</t>
  </si>
  <si>
    <t xml:space="preserve">Balance OHT 125KL 12MTR  AT VILLAGE TITARSI PAWARKHERA HANABHAWAN </t>
  </si>
  <si>
    <t xml:space="preserve">04-02-2025 NEFT/AXISP00610028547/RIUP24/3075/JANARDAN ORGANICF/UBIN0565750 99000.00 </t>
  </si>
  <si>
    <t>23-02-2024 NEFT/AXISP00473620337/RIUP23/4824/JANARDAN ORGANIC F/UBIN0565750 9,90,000.00</t>
  </si>
  <si>
    <t>20-02-2025 NEFT/AXISP00619694065/RIUP24/3183/JANARDAN ORGANIC F/UBIN0565750 792000.00</t>
  </si>
  <si>
    <t>04-09-2024 NEFT/AXISP00535970653/RIUP24/1611/JANARDAN ORGANIC F/UBIN0565750 4,95,000.00</t>
  </si>
  <si>
    <t>29-03-2024 NEFT/AXISP00485733267/RIUP23/5309/JANARDAN ORGANIC F/UBIN0565750 1,98,000.00</t>
  </si>
  <si>
    <t>18-07-2024 NEFT/AXISP00519648697/RIUP24/1149/JANARDAN ORGANIC F/UBIN0565750 4,95,000.00</t>
  </si>
  <si>
    <t>05-10-2024 NEFT/AXISP00549508646/RIUP24/2129/JANARDAN ORGANIC F/UBIN0565750 4,95,000.00</t>
  </si>
  <si>
    <t>2023 April 07 ------------ Janardan Organic Food Mills ------------ Rs. 2,00,000 ----- AXISP00379707434</t>
  </si>
  <si>
    <t>22-08-2024 NEFT/AXISP00530824634/RIUP24/1484/JANARDAN ORGANIC F/UBIN0565750 9,90,000.00</t>
  </si>
  <si>
    <t>17-08-2024 NEFT/AXISP00529471070/RIUP24/1483/JANARDAN ORGANIC F/UBIN0565750 9,90,000.00</t>
  </si>
  <si>
    <t>2023 April 07 ------------ Janardan Organic Food Mill ---------- Rs. 1,00,000 ------ AXISP00379707432</t>
  </si>
  <si>
    <t>28-02-2025 NEFT/AXISP00624122403/RIUP24/3227/JANARDAN ORGANICF/UBIN0565750 495000.00</t>
  </si>
  <si>
    <t>28-02-2025 NEFT/AXISP00624122402/RIUP24/3226/JANARDAN ORGANICF/UBIN0565750 495000.00</t>
  </si>
  <si>
    <t>28-02-2025 NEFT/AXISP00624122401/RIUP24/3224/JANARDAN ORGANICF/UBIN0565750 495000.00</t>
  </si>
  <si>
    <t>28-02-2025 NEFT/AXISP00624122400/RIUP24/3223/JANARDAN ORGANICF/UBIN0565750 495000.00</t>
  </si>
  <si>
    <t>01-03-2025 NEFT/AXISP00625604912/RIUP24/3213/JANARDAN ORGANICF/UBIN0565750 495000.00</t>
  </si>
  <si>
    <t>01-03-2025 NEFT/AXISP00625604911/RIUP24/3184/JANARDAN ORGANICF/UBIN0565750 198000.00</t>
  </si>
  <si>
    <t>04-03-2025 NEFT/AXISP00627610739/RIUP24/3225/JANARDAN ORGANICF/UBIN0565750 990000.00</t>
  </si>
  <si>
    <t>11-03-2025 NEFT/AXISP00631056309/RIUP24/3194/JANARDAN ORGANICF/UBIN0565750 990000.00</t>
  </si>
  <si>
    <t>11-03-2025 NEFT/AXISP00631056308/RIUP24/3214/JANARDAN ORGANIC F/UBIN0565750 990000.00</t>
  </si>
  <si>
    <t>13-03-2025 NEFT/AXISP00633085983/RIUP24/3308/JANARDAN ORGANICF/UBIN0565750 500000.00</t>
  </si>
  <si>
    <t>13-03-2025 NEFT/AXISP00633085985/RIUP24/3310/JANARDAN ORGANICF/UBIN0565750 500000.00</t>
  </si>
  <si>
    <t>13-03-2025 NEFT/AXISP00633085984/RIUP24/3309/JANARDAN ORGANICF/UBIN0565750 500000.00</t>
  </si>
  <si>
    <t>13-03-2025 NEFT/AXISP00633085986/RIUP24/3311/JANARDAN ORGANICF/UBIN0565750 500000.00</t>
  </si>
  <si>
    <t>10-03-2025 NEFT/AXISP00630778367/RIUP24/3307/JANARDAN ORGANIC F/UBIN0565750 5,00,000.00</t>
  </si>
  <si>
    <t>19-03-2025 RTGS/UTIBR72025031900423015/RIUP24/3373/JANARDAN ORGANIC F/UBIN0565750 895900.00</t>
  </si>
  <si>
    <t>20-03-2025 NEFT/AXISP00635886933/RIUP24/3430/JANARDAN ORGANIC F/UBIN0565750 - ₹ 4,66,790.00</t>
  </si>
  <si>
    <t>20-03-2025 NEFT/AXISP00635886935/RIUP24/3381/JANARDAN ORGANIC F/UBIN0565750 - ₹ 9,90,000.00</t>
  </si>
  <si>
    <t>24-03-2025 NEFT/AXISP00637389513/RIUP24/3432/JANARDAN ORGANICF/UBIN0565750 500000.00</t>
  </si>
  <si>
    <t>24-03-2025 NEFT/AXISP00637389514/RIUP24/3382/JANARDAN ORGANICF/UBIN0565750 990000.00</t>
  </si>
  <si>
    <t>05-04-2025 NEFT/AXISP00647054537/RIUP25/0022/JANARDAN ORGANICF/UBIN0565750 200000.00</t>
  </si>
  <si>
    <t>05-04-2025 NEFT/AXISP00647054536/RIUP25/0021/JANARDAN ORGANICF/UBIN0565750 400000.00</t>
  </si>
  <si>
    <t>08-04-2025 NEFT/AXISP00648369680/RIUP25/0024/JANARDAN ORGANICF/UBIN0565750 300000.00</t>
  </si>
  <si>
    <t>08-04-2025 NEFT/AXISP00648369679/RIUP25/0023/JANARDAN ORGANICF/UBIN0565750 400000.00</t>
  </si>
  <si>
    <t>20-03-2025 NEFT/AXISP00635886934/RIUP24/3431/JANARDAN ORGANIC F/UBIN0565750 5,00,000.00</t>
  </si>
  <si>
    <t>24-04-2025 NEFT/AXISP00655540761/RIUP25/0143/JANARDAN ORGANICF/UBIN0565750 495000.00</t>
  </si>
  <si>
    <t>24-04-2025 NEFT/AXISP00655540760/RIUP25/0142/JANARDAN ORGANICF/UBIN0565750 495000.00</t>
  </si>
  <si>
    <t>24-04-2025 NEFT/AXISP00655540759/RIUP25/0141/JANARDAN ORGANICF/UBIN0565750 495000.00</t>
  </si>
  <si>
    <t>28-04-2025 NEFT/AXISP00656816819/RIUP25/0160/JANARDAN ORGANICF/UBIN0565750 495000.00</t>
  </si>
  <si>
    <t>28-04-2025 NEFT/AXISP00656816818/RIUP25/0159/JANARDAN ORGANIC F/UBIN0565750 495000.00</t>
  </si>
  <si>
    <t>28-04-2025 NEFT/AXISP00656953024/RIUP25/0157/JANARDAN ORGANICF/UBIN0565750 990000.00</t>
  </si>
  <si>
    <t>29-04-2025 NEFT/AXISP00657354003/RIUP25/0158/JANARDAN ORGANIC F/UBIN0565750 990000.00</t>
  </si>
  <si>
    <t>29-04-2025 NEFT/AXISP00657354002/RIUP25/0156/JANARDAN ORGANIC F/UBIN0565750 495000.00</t>
  </si>
  <si>
    <t>03-05-2025 NEFT/AXISP00660679418/RIUP25/0206/JANARDAN ORGANICF/UBIN0565750 495000.00</t>
  </si>
  <si>
    <t>03-05-2025 NEFT/AXISP00660679417/RIUP25/0205/JANARDAN ORGANICF/UBIN0565750 495000.00</t>
  </si>
  <si>
    <t>03-05-2025 NEFT/AXISP00660679416/RIUP25/0204/JANARDAN ORGANICF/UBIN0565750 495000.00</t>
  </si>
  <si>
    <t>03-05-2025 NEFT/AXISP00660679415/RIUP25/0203/JANARDAN ORGANICF/UBIN0565750 495000.00</t>
  </si>
  <si>
    <t>07-05-2025 NEFT/AXISP00662399707/RIUP25/0213/JANARDAN ORGANICF/UBIN0565750 990000.00</t>
  </si>
  <si>
    <t>07-05-2025 NEFT/AXISP00662399709/RIUP25/0214/JANARDAN ORGANIC F/UBIN0565750 495000.00</t>
  </si>
  <si>
    <t>09-05-2025 NEFT/AXISP00664026632/RIUP25/0229/JANARDAN ORGANIC F/UBIN0565750 990000.00</t>
  </si>
  <si>
    <t>13-05-2025 NEFT/AXISP00665020794/RIUP25/0232/JANARDAN ORGANIC F/UBIN0565750 495000.00</t>
  </si>
  <si>
    <t>13-05-2025 NEFT/AXISP00665020792/RIUP25/0231/JANARDAN ORGANIC F/UBIN0565750 495000.00</t>
  </si>
  <si>
    <t>15-05-2025 NEFT/AXISP00666035605/RIUP25/0249/JANARDAN ORGANICF/UBIN0565750 495000.00</t>
  </si>
  <si>
    <t>15-05-2025 NEFT/AXISP00666035604/RIUP25/0248/JANARDAN ORGANICF/UBIN0565750 990000.00</t>
  </si>
  <si>
    <t>22-05-2025 NEFT/AXISP00668906658/RIUP25/0317/JANARDAN ORGANICF/UBIN0565750 297000.00</t>
  </si>
  <si>
    <t>22-05-2025 NEFT/AXISP00668906659/RIUP25/0318/JANARDAN ORGANICF/UBIN0565750 297000.00</t>
  </si>
  <si>
    <t>22-05-2025 NEFT/AXISP00668906660/RIUP25/0319/JANARDAN ORGANICF/UBIN0565750 297000.00</t>
  </si>
  <si>
    <t>23-05-2025 NEFT/AXISP00669450344/RIUP25/0322/JANARDAN ORGANIC F/UBIN0565750 ₹ 9,90,000.00</t>
  </si>
  <si>
    <t>23-05-2025 NEFT/AXISP00669450343/RIUP25/0321/JANARDAN ORGANIC F/UBIN0565750 ₹ 3,96,000.00</t>
  </si>
  <si>
    <t>23-05-2025 NEFT/AXISP00669450342/RIUP25/0320/JANARDAN ORGANIC F/UBIN0565750 ₹ 1,98,000.00</t>
  </si>
  <si>
    <t>27-05-2025 NEFT/AXISP00670293333/RIUP25/0351/JANARDAN ORGANICF/UBIN0565750 198000.00</t>
  </si>
  <si>
    <t>27-05-2025 NEFT/AXISP00670293332/RIUP25/0350/JANARDAN ORGANICF/UBIN0565750 99000.00</t>
  </si>
  <si>
    <t>27-05-2025 NEFT/AXISP00670293331/RIUP25/0349/JANARDAN ORGANICF/UBIN0565750 198000.00</t>
  </si>
  <si>
    <t>27-05-2025 NEFT/AXISP00670293330/RIUP25/0348/JANARDAN ORGANIC F/UBIN0565750 396000.00</t>
  </si>
  <si>
    <t>27-05-2025 NEFT/AXISP00670293329/RIUP25/0347/JANARDAN ORGANICF/UBIN0565750 396000.00</t>
  </si>
  <si>
    <t>27-05-2025 NEFT/AXISP00670293328/RIUP25/0346/JANARDAN ORGANICF/UBIN0565750 198000.00</t>
  </si>
  <si>
    <t>Campus development Work</t>
  </si>
  <si>
    <t>29-05-2025 NEFT/AXISP00671238827/RIUP25/0357/JANARDAN ORGANICF/UBIN0565750 222750.00</t>
  </si>
  <si>
    <t>29-05-2025 NEFT/AXISP00671238828/RIUP25/0358/JANARDAN ORGANICF/UBIN0565750 495000.00</t>
  </si>
  <si>
    <t>29-05-2025 NEFT/AXISP00671238829/RIUP25/0359/JANARDAN ORGANIC F/UBIN0565750 198000.00</t>
  </si>
  <si>
    <t>29-05-2025 NEFT/AXISP00671238830/RIUP25/0360/JANARDAN ORGANICF/UBIN0565750 74250.00</t>
  </si>
  <si>
    <t xml:space="preserve">BALANCE OHT 125KL 12MTR  AT VILLAGE ASADPUR BAMNOLI-BLOCK-KANDHLA </t>
  </si>
  <si>
    <t>04-06-2025 NEFT/AXISP00674569625/RIUP25/0401/JANARDAN ORGANICF/UBIN0565750 990000.00</t>
  </si>
  <si>
    <t>10-06-2025 NEFT/AXISP00677381942/RIUP25/0441/JANARDAN ORGANICF/UBIN0565750 495000.00</t>
  </si>
  <si>
    <t>03-06-2025 NEFT/AXISP00673990169/RIUP25/0393/JANARDAN ORGANICF/UBIN0565750 247500.00</t>
  </si>
  <si>
    <t>03-06-2025 NEFT/AXISP00673990168/RIUP25/0392/JANARDAN ORGANICF/UBIN0565750 247500.00</t>
  </si>
  <si>
    <t>03-06-2025 NEFT/AXISP00673990167/RIUP25/0391/JANARDAN ORGANICF/UBIN0565750 247500.00</t>
  </si>
  <si>
    <t>03-06-2025 NEFT/AXISP00673990166/RIUP25/0390/JANARDAN ORGANICF/UBIN0565750 247500.00</t>
  </si>
  <si>
    <t>162/165/18</t>
  </si>
  <si>
    <t>157/168/21</t>
  </si>
  <si>
    <t>167 / 170/27</t>
  </si>
  <si>
    <t>166/169/22</t>
  </si>
  <si>
    <t>165/167/20</t>
  </si>
  <si>
    <t>168/171/24</t>
  </si>
  <si>
    <t>170/174/27</t>
  </si>
  <si>
    <t>171/173/26</t>
  </si>
  <si>
    <t>163/166/19</t>
  </si>
  <si>
    <t>169/172/25</t>
  </si>
  <si>
    <t xml:space="preserve">Advance </t>
  </si>
  <si>
    <t>gst relase not amt is not matches with T.In-10 diff is 18rs.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</si>
</sst>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sz val="9"/>
      <color rgb="FF333333"/>
      <name val="Verdana"/>
      <family val="2"/>
    </font>
    <font>
      <sz val="9"/>
      <color rgb="FFFF0000"/>
      <name val="Comic Sans MS"/>
      <family val="4"/>
    </font>
    <font>
      <sz val="11"/>
      <color rgb="FFFF0000"/>
      <name val="Calibri"/>
      <family val="2"/>
      <scheme val="minor"/>
    </font>
    <font>
      <b/>
      <sz val="9"/>
      <color rgb="FFFF0000"/>
      <name val="Comic Sans MS"/>
      <family val="4"/>
    </font>
    <font>
      <b/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theme="3" tint="0.39997558519241921"/>
      <name val="Comic Sans MS"/>
      <family val="4"/>
    </font>
    <font>
      <sz val="18"/>
      <color theme="1"/>
      <name val="Comic Sans MS"/>
      <family val="4"/>
    </font>
    <font>
      <sz val="20"/>
      <color theme="1"/>
      <name val="Comic Sans MS"/>
      <family val="4"/>
    </font>
    <font>
      <b/>
      <sz val="2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9"/>
      <name val="Comic Sans MS"/>
      <family val="4"/>
    </font>
    <font>
      <b/>
      <sz val="12"/>
      <color theme="1"/>
      <name val="Calibri"/>
      <family val="2"/>
      <scheme val="minor"/>
    </font>
    <font>
      <b/>
      <sz val="11"/>
      <color theme="1"/>
      <name val="Comic Sans MS"/>
      <family val="4"/>
    </font>
    <font>
      <b/>
      <sz val="11"/>
      <name val="Comic Sans MS"/>
      <family val="4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18">
    <xf numFmtId="0" fontId="0" fillId="0" borderId="0" xfId="0"/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3" fillId="2" borderId="0" xfId="0" applyFont="1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43" fontId="3" fillId="2" borderId="7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0" fillId="2" borderId="7" xfId="0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15" fontId="3" fillId="2" borderId="7" xfId="0" applyNumberFormat="1" applyFont="1" applyFill="1" applyBorder="1" applyAlignment="1">
      <alignment horizontal="center" vertical="center"/>
    </xf>
    <xf numFmtId="14" fontId="3" fillId="2" borderId="7" xfId="0" applyNumberFormat="1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43" fontId="6" fillId="2" borderId="15" xfId="1" applyNumberFormat="1" applyFont="1" applyFill="1" applyBorder="1" applyAlignment="1">
      <alignment horizontal="center" vertical="center"/>
    </xf>
    <xf numFmtId="43" fontId="5" fillId="2" borderId="15" xfId="1" applyNumberFormat="1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0" fontId="0" fillId="3" borderId="8" xfId="0" applyFill="1" applyBorder="1" applyAlignment="1">
      <alignment vertical="center"/>
    </xf>
    <xf numFmtId="0" fontId="7" fillId="0" borderId="8" xfId="0" applyFont="1" applyBorder="1" applyAlignment="1">
      <alignment vertical="center"/>
    </xf>
    <xf numFmtId="15" fontId="3" fillId="2" borderId="3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 wrapText="1"/>
    </xf>
    <xf numFmtId="0" fontId="5" fillId="2" borderId="0" xfId="0" applyFont="1" applyFill="1" applyAlignment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43" fontId="5" fillId="2" borderId="1" xfId="1" applyNumberFormat="1" applyFont="1" applyFill="1" applyBorder="1" applyAlignment="1">
      <alignment vertical="center"/>
    </xf>
    <xf numFmtId="0" fontId="5" fillId="2" borderId="14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43" fontId="3" fillId="2" borderId="18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43" fontId="5" fillId="2" borderId="14" xfId="1" applyNumberFormat="1" applyFont="1" applyFill="1" applyBorder="1" applyAlignment="1">
      <alignment vertical="center"/>
    </xf>
    <xf numFmtId="43" fontId="5" fillId="2" borderId="15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5" fillId="2" borderId="16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5" fillId="2" borderId="21" xfId="1" applyNumberFormat="1" applyFont="1" applyFill="1" applyBorder="1" applyAlignment="1">
      <alignment vertical="center"/>
    </xf>
    <xf numFmtId="0" fontId="2" fillId="2" borderId="22" xfId="0" applyFont="1" applyFill="1" applyBorder="1" applyAlignment="1">
      <alignment vertical="center"/>
    </xf>
    <xf numFmtId="0" fontId="2" fillId="2" borderId="23" xfId="0" applyFont="1" applyFill="1" applyBorder="1" applyAlignment="1">
      <alignment vertical="center"/>
    </xf>
    <xf numFmtId="15" fontId="8" fillId="2" borderId="7" xfId="0" applyNumberFormat="1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43" fontId="8" fillId="2" borderId="7" xfId="1" applyNumberFormat="1" applyFont="1" applyFill="1" applyBorder="1" applyAlignment="1">
      <alignment vertical="center"/>
    </xf>
    <xf numFmtId="43" fontId="8" fillId="2" borderId="8" xfId="1" applyNumberFormat="1" applyFont="1" applyFill="1" applyBorder="1" applyAlignment="1">
      <alignment vertical="center"/>
    </xf>
    <xf numFmtId="15" fontId="3" fillId="2" borderId="19" xfId="0" applyNumberFormat="1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43" fontId="2" fillId="2" borderId="0" xfId="0" applyNumberFormat="1" applyFont="1" applyFill="1" applyAlignment="1">
      <alignment vertical="center"/>
    </xf>
    <xf numFmtId="43" fontId="12" fillId="2" borderId="0" xfId="1" applyNumberFormat="1" applyFont="1" applyFill="1" applyBorder="1" applyAlignment="1">
      <alignment vertical="center"/>
    </xf>
    <xf numFmtId="43" fontId="13" fillId="2" borderId="0" xfId="1" applyNumberFormat="1" applyFont="1" applyFill="1" applyBorder="1" applyAlignment="1">
      <alignment vertical="center"/>
    </xf>
    <xf numFmtId="43" fontId="14" fillId="2" borderId="0" xfId="1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vertical="center"/>
    </xf>
    <xf numFmtId="43" fontId="14" fillId="2" borderId="0" xfId="1" applyNumberFormat="1" applyFont="1" applyFill="1" applyBorder="1" applyAlignment="1">
      <alignment vertical="center"/>
    </xf>
    <xf numFmtId="0" fontId="12" fillId="2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5" fillId="2" borderId="0" xfId="1" applyNumberFormat="1" applyFont="1" applyFill="1" applyBorder="1" applyAlignment="1">
      <alignment vertical="center"/>
    </xf>
    <xf numFmtId="43" fontId="15" fillId="2" borderId="0" xfId="1" applyNumberFormat="1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left" vertical="center"/>
    </xf>
    <xf numFmtId="43" fontId="11" fillId="2" borderId="7" xfId="1" applyNumberFormat="1" applyFont="1" applyFill="1" applyBorder="1" applyAlignment="1">
      <alignment horizontal="left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28" xfId="1" applyNumberFormat="1" applyFont="1" applyFill="1" applyBorder="1" applyAlignment="1">
      <alignment vertical="center"/>
    </xf>
    <xf numFmtId="0" fontId="5" fillId="2" borderId="29" xfId="1" applyNumberFormat="1" applyFont="1" applyFill="1" applyBorder="1" applyAlignment="1">
      <alignment vertical="center"/>
    </xf>
    <xf numFmtId="0" fontId="10" fillId="2" borderId="29" xfId="1" applyNumberFormat="1" applyFont="1" applyFill="1" applyBorder="1" applyAlignment="1">
      <alignment vertical="center"/>
    </xf>
    <xf numFmtId="0" fontId="5" fillId="3" borderId="29" xfId="1" applyNumberFormat="1" applyFont="1" applyFill="1" applyBorder="1" applyAlignment="1">
      <alignment vertical="center"/>
    </xf>
    <xf numFmtId="0" fontId="5" fillId="2" borderId="30" xfId="1" applyNumberFormat="1" applyFont="1" applyFill="1" applyBorder="1" applyAlignment="1">
      <alignment vertical="center"/>
    </xf>
    <xf numFmtId="0" fontId="5" fillId="2" borderId="31" xfId="1" applyNumberFormat="1" applyFont="1" applyFill="1" applyBorder="1" applyAlignment="1">
      <alignment vertical="center"/>
    </xf>
    <xf numFmtId="0" fontId="5" fillId="2" borderId="32" xfId="1" applyNumberFormat="1" applyFont="1" applyFill="1" applyBorder="1" applyAlignment="1">
      <alignment vertical="center"/>
    </xf>
    <xf numFmtId="0" fontId="0" fillId="2" borderId="26" xfId="0" applyFill="1" applyBorder="1" applyAlignment="1">
      <alignment vertical="center"/>
    </xf>
    <xf numFmtId="0" fontId="0" fillId="2" borderId="27" xfId="0" applyFill="1" applyBorder="1" applyAlignment="1">
      <alignment vertical="center"/>
    </xf>
    <xf numFmtId="0" fontId="0" fillId="2" borderId="33" xfId="0" applyFill="1" applyBorder="1" applyAlignment="1">
      <alignment vertical="center"/>
    </xf>
    <xf numFmtId="0" fontId="0" fillId="2" borderId="34" xfId="0" applyFill="1" applyBorder="1" applyAlignment="1">
      <alignment vertical="center"/>
    </xf>
    <xf numFmtId="0" fontId="9" fillId="2" borderId="34" xfId="0" applyFont="1" applyFill="1" applyBorder="1" applyAlignment="1">
      <alignment vertical="center"/>
    </xf>
    <xf numFmtId="0" fontId="0" fillId="2" borderId="22" xfId="0" applyFill="1" applyBorder="1" applyAlignment="1">
      <alignment vertical="center"/>
    </xf>
    <xf numFmtId="0" fontId="0" fillId="2" borderId="23" xfId="0" applyFill="1" applyBorder="1" applyAlignment="1">
      <alignment vertical="center"/>
    </xf>
    <xf numFmtId="0" fontId="0" fillId="2" borderId="35" xfId="0" applyFill="1" applyBorder="1" applyAlignment="1">
      <alignment vertical="center"/>
    </xf>
    <xf numFmtId="0" fontId="0" fillId="2" borderId="36" xfId="0" applyFill="1" applyBorder="1" applyAlignment="1">
      <alignment vertical="center"/>
    </xf>
    <xf numFmtId="0" fontId="9" fillId="2" borderId="36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15" fontId="3" fillId="2" borderId="6" xfId="0" applyNumberFormat="1" applyFont="1" applyFill="1" applyBorder="1" applyAlignment="1">
      <alignment horizontal="left" vertical="center"/>
    </xf>
    <xf numFmtId="43" fontId="3" fillId="2" borderId="6" xfId="1" applyNumberFormat="1" applyFont="1" applyFill="1" applyBorder="1" applyAlignment="1">
      <alignment horizontal="left" vertical="center"/>
    </xf>
    <xf numFmtId="43" fontId="3" fillId="3" borderId="6" xfId="1" applyNumberFormat="1" applyFont="1" applyFill="1" applyBorder="1" applyAlignment="1">
      <alignment horizontal="left" vertical="center"/>
    </xf>
    <xf numFmtId="0" fontId="3" fillId="2" borderId="18" xfId="0" applyFont="1" applyFill="1" applyBorder="1" applyAlignment="1">
      <alignment horizontal="left" vertical="center" wrapText="1"/>
    </xf>
    <xf numFmtId="43" fontId="3" fillId="2" borderId="18" xfId="1" applyNumberFormat="1" applyFont="1" applyFill="1" applyBorder="1" applyAlignment="1">
      <alignment horizontal="left" vertical="center"/>
    </xf>
    <xf numFmtId="43" fontId="3" fillId="2" borderId="14" xfId="1" applyNumberFormat="1" applyFont="1" applyFill="1" applyBorder="1" applyAlignment="1">
      <alignment horizontal="left" vertical="center"/>
    </xf>
    <xf numFmtId="43" fontId="3" fillId="2" borderId="11" xfId="1" applyNumberFormat="1" applyFont="1" applyFill="1" applyBorder="1" applyAlignment="1">
      <alignment horizontal="left" vertical="center"/>
    </xf>
    <xf numFmtId="0" fontId="0" fillId="3" borderId="34" xfId="0" applyFill="1" applyBorder="1" applyAlignment="1">
      <alignment vertical="center"/>
    </xf>
    <xf numFmtId="0" fontId="0" fillId="3" borderId="36" xfId="0" applyFill="1" applyBorder="1" applyAlignment="1">
      <alignment vertical="center"/>
    </xf>
    <xf numFmtId="0" fontId="9" fillId="2" borderId="27" xfId="0" applyFont="1" applyFill="1" applyBorder="1" applyAlignment="1">
      <alignment vertical="center"/>
    </xf>
    <xf numFmtId="0" fontId="9" fillId="2" borderId="23" xfId="0" applyFont="1" applyFill="1" applyBorder="1" applyAlignment="1">
      <alignment vertical="center"/>
    </xf>
    <xf numFmtId="0" fontId="7" fillId="0" borderId="0" xfId="0" applyFont="1"/>
    <xf numFmtId="15" fontId="3" fillId="2" borderId="36" xfId="0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vertical="center"/>
    </xf>
    <xf numFmtId="0" fontId="5" fillId="2" borderId="36" xfId="1" applyNumberFormat="1" applyFont="1" applyFill="1" applyBorder="1" applyAlignment="1">
      <alignment vertical="center"/>
    </xf>
    <xf numFmtId="0" fontId="3" fillId="2" borderId="36" xfId="0" applyFont="1" applyFill="1" applyBorder="1" applyAlignment="1">
      <alignment horizontal="center" vertical="center" wrapText="1"/>
    </xf>
    <xf numFmtId="0" fontId="3" fillId="2" borderId="36" xfId="0" applyFont="1" applyFill="1" applyBorder="1" applyAlignment="1">
      <alignment horizontal="center" vertical="center"/>
    </xf>
    <xf numFmtId="43" fontId="3" fillId="2" borderId="36" xfId="1" applyNumberFormat="1" applyFont="1" applyFill="1" applyBorder="1" applyAlignment="1">
      <alignment vertical="center"/>
    </xf>
    <xf numFmtId="15" fontId="3" fillId="4" borderId="36" xfId="0" applyNumberFormat="1" applyFont="1" applyFill="1" applyBorder="1" applyAlignment="1">
      <alignment horizontal="center" vertical="center"/>
    </xf>
    <xf numFmtId="43" fontId="3" fillId="4" borderId="36" xfId="1" applyNumberFormat="1" applyFont="1" applyFill="1" applyBorder="1" applyAlignment="1">
      <alignment vertical="center"/>
    </xf>
    <xf numFmtId="0" fontId="0" fillId="4" borderId="36" xfId="0" applyFill="1" applyBorder="1" applyAlignment="1">
      <alignment vertical="center"/>
    </xf>
    <xf numFmtId="0" fontId="0" fillId="4" borderId="36" xfId="0" applyFill="1" applyBorder="1" applyAlignment="1">
      <alignment vertical="center" wrapText="1"/>
    </xf>
    <xf numFmtId="43" fontId="8" fillId="2" borderId="36" xfId="1" applyNumberFormat="1" applyFont="1" applyFill="1" applyBorder="1" applyAlignment="1">
      <alignment vertical="center"/>
    </xf>
    <xf numFmtId="43" fontId="3" fillId="2" borderId="36" xfId="1" applyNumberFormat="1" applyFont="1" applyFill="1" applyBorder="1" applyAlignment="1">
      <alignment horizontal="center" vertical="center"/>
    </xf>
    <xf numFmtId="0" fontId="5" fillId="2" borderId="38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5" fillId="2" borderId="22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5" fillId="2" borderId="23" xfId="1" applyNumberFormat="1" applyFont="1" applyFill="1" applyBorder="1" applyAlignment="1">
      <alignment vertical="center"/>
    </xf>
    <xf numFmtId="0" fontId="5" fillId="2" borderId="36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vertical="center"/>
    </xf>
    <xf numFmtId="43" fontId="5" fillId="2" borderId="36" xfId="1" applyNumberFormat="1" applyFont="1" applyFill="1" applyBorder="1" applyAlignment="1">
      <alignment vertical="center"/>
    </xf>
    <xf numFmtId="0" fontId="5" fillId="2" borderId="23" xfId="1" applyNumberFormat="1" applyFont="1" applyFill="1" applyBorder="1" applyAlignment="1">
      <alignment vertical="center"/>
    </xf>
    <xf numFmtId="0" fontId="3" fillId="4" borderId="36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36" xfId="1" applyNumberFormat="1" applyFont="1" applyFill="1" applyBorder="1" applyAlignment="1">
      <alignment horizontal="center" vertical="center"/>
    </xf>
    <xf numFmtId="0" fontId="3" fillId="2" borderId="22" xfId="1" applyNumberFormat="1" applyFont="1" applyFill="1" applyBorder="1" applyAlignment="1">
      <alignment horizontal="center" vertical="center"/>
    </xf>
    <xf numFmtId="0" fontId="3" fillId="2" borderId="23" xfId="1" applyNumberFormat="1" applyFont="1" applyFill="1" applyBorder="1" applyAlignment="1">
      <alignment horizontal="center" vertical="center"/>
    </xf>
    <xf numFmtId="0" fontId="5" fillId="2" borderId="22" xfId="1" applyNumberFormat="1" applyFont="1" applyFill="1" applyBorder="1" applyAlignment="1">
      <alignment vertical="center"/>
    </xf>
    <xf numFmtId="0" fontId="3" fillId="2" borderId="38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center" vertical="center"/>
    </xf>
    <xf numFmtId="43" fontId="3" fillId="2" borderId="38" xfId="1" applyNumberFormat="1" applyFont="1" applyFill="1" applyBorder="1" applyAlignment="1">
      <alignment vertical="center"/>
    </xf>
    <xf numFmtId="0" fontId="5" fillId="2" borderId="38" xfId="0" applyFont="1" applyFill="1" applyBorder="1" applyAlignment="1">
      <alignment horizontal="center" vertical="center" wrapText="1"/>
    </xf>
    <xf numFmtId="3" fontId="3" fillId="2" borderId="36" xfId="0" applyNumberFormat="1" applyFont="1" applyFill="1" applyBorder="1" applyAlignment="1">
      <alignment horizontal="center" vertical="center"/>
    </xf>
    <xf numFmtId="164" fontId="0" fillId="2" borderId="0" xfId="1" applyFont="1" applyFill="1" applyAlignment="1">
      <alignment vertical="center"/>
    </xf>
    <xf numFmtId="164" fontId="3" fillId="2" borderId="23" xfId="1" applyFont="1" applyFill="1" applyBorder="1" applyAlignment="1">
      <alignment vertical="center"/>
    </xf>
    <xf numFmtId="164" fontId="8" fillId="2" borderId="36" xfId="1" applyFont="1" applyFill="1" applyBorder="1" applyAlignment="1">
      <alignment vertical="center"/>
    </xf>
    <xf numFmtId="164" fontId="3" fillId="2" borderId="36" xfId="1" applyFont="1" applyFill="1" applyBorder="1" applyAlignment="1">
      <alignment vertical="center"/>
    </xf>
    <xf numFmtId="164" fontId="3" fillId="4" borderId="36" xfId="1" applyFont="1" applyFill="1" applyBorder="1" applyAlignment="1">
      <alignment vertical="center"/>
    </xf>
    <xf numFmtId="164" fontId="3" fillId="2" borderId="36" xfId="1" applyFont="1" applyFill="1" applyBorder="1" applyAlignment="1">
      <alignment horizontal="center" vertical="center" wrapText="1"/>
    </xf>
    <xf numFmtId="164" fontId="3" fillId="2" borderId="0" xfId="1" applyFont="1" applyFill="1" applyBorder="1" applyAlignment="1">
      <alignment vertical="center"/>
    </xf>
    <xf numFmtId="164" fontId="3" fillId="2" borderId="35" xfId="1" applyFont="1" applyFill="1" applyBorder="1" applyAlignment="1">
      <alignment vertical="center"/>
    </xf>
    <xf numFmtId="164" fontId="0" fillId="2" borderId="36" xfId="1" applyFont="1" applyFill="1" applyBorder="1" applyAlignment="1">
      <alignment vertical="center"/>
    </xf>
    <xf numFmtId="164" fontId="5" fillId="2" borderId="36" xfId="1" applyFont="1" applyFill="1" applyBorder="1" applyAlignment="1">
      <alignment horizontal="center" vertical="center" wrapText="1"/>
    </xf>
    <xf numFmtId="164" fontId="5" fillId="2" borderId="38" xfId="1" applyFont="1" applyFill="1" applyBorder="1" applyAlignment="1">
      <alignment horizontal="center" vertical="center" wrapText="1"/>
    </xf>
    <xf numFmtId="164" fontId="5" fillId="2" borderId="23" xfId="1" applyFont="1" applyFill="1" applyBorder="1" applyAlignment="1">
      <alignment vertical="center"/>
    </xf>
    <xf numFmtId="43" fontId="3" fillId="0" borderId="36" xfId="1" applyNumberFormat="1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43" fontId="0" fillId="0" borderId="0" xfId="1" applyNumberFormat="1" applyFont="1" applyFill="1" applyAlignment="1">
      <alignment vertical="center"/>
    </xf>
    <xf numFmtId="164" fontId="0" fillId="0" borderId="0" xfId="1" applyFont="1" applyFill="1" applyAlignment="1">
      <alignment vertical="center"/>
    </xf>
    <xf numFmtId="0" fontId="5" fillId="0" borderId="13" xfId="1" applyNumberFormat="1" applyFont="1" applyFill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43" fontId="3" fillId="0" borderId="0" xfId="1" applyNumberFormat="1" applyFont="1" applyFill="1" applyBorder="1" applyAlignment="1">
      <alignment vertical="center" wrapText="1"/>
    </xf>
    <xf numFmtId="164" fontId="0" fillId="0" borderId="0" xfId="1" applyFont="1" applyFill="1" applyAlignment="1">
      <alignment vertical="center" wrapText="1"/>
    </xf>
    <xf numFmtId="0" fontId="0" fillId="0" borderId="0" xfId="0" applyAlignment="1">
      <alignment vertical="center" wrapText="1"/>
    </xf>
    <xf numFmtId="14" fontId="2" fillId="0" borderId="0" xfId="0" applyNumberFormat="1" applyFont="1" applyAlignment="1">
      <alignment vertical="center" wrapText="1"/>
    </xf>
    <xf numFmtId="164" fontId="3" fillId="0" borderId="0" xfId="1" applyFont="1" applyFill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2" borderId="35" xfId="0" applyFont="1" applyFill="1" applyBorder="1" applyAlignment="1">
      <alignment horizontal="center" vertical="center" wrapText="1"/>
    </xf>
    <xf numFmtId="15" fontId="3" fillId="2" borderId="35" xfId="0" applyNumberFormat="1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43" fontId="3" fillId="2" borderId="35" xfId="1" applyNumberFormat="1" applyFont="1" applyFill="1" applyBorder="1" applyAlignment="1">
      <alignment vertical="center"/>
    </xf>
    <xf numFmtId="43" fontId="3" fillId="4" borderId="35" xfId="1" applyNumberFormat="1" applyFont="1" applyFill="1" applyBorder="1" applyAlignment="1">
      <alignment vertical="center"/>
    </xf>
    <xf numFmtId="0" fontId="10" fillId="2" borderId="36" xfId="0" applyFont="1" applyFill="1" applyBorder="1" applyAlignment="1">
      <alignment horizontal="center" vertical="center" wrapText="1"/>
    </xf>
    <xf numFmtId="15" fontId="3" fillId="2" borderId="38" xfId="0" applyNumberFormat="1" applyFont="1" applyFill="1" applyBorder="1" applyAlignment="1">
      <alignment horizontal="center" vertical="center"/>
    </xf>
    <xf numFmtId="164" fontId="8" fillId="5" borderId="35" xfId="1" applyFont="1" applyFill="1" applyBorder="1" applyAlignment="1">
      <alignment vertical="center"/>
    </xf>
    <xf numFmtId="43" fontId="3" fillId="0" borderId="38" xfId="1" applyNumberFormat="1" applyFont="1" applyFill="1" applyBorder="1" applyAlignment="1">
      <alignment vertical="center"/>
    </xf>
    <xf numFmtId="0" fontId="10" fillId="2" borderId="38" xfId="0" applyFont="1" applyFill="1" applyBorder="1" applyAlignment="1">
      <alignment horizontal="center" vertical="center" wrapText="1"/>
    </xf>
    <xf numFmtId="43" fontId="0" fillId="2" borderId="0" xfId="0" applyNumberFormat="1" applyFill="1" applyAlignment="1">
      <alignment horizontal="center" vertical="center"/>
    </xf>
    <xf numFmtId="43" fontId="5" fillId="2" borderId="23" xfId="1" applyNumberFormat="1" applyFont="1" applyFill="1" applyBorder="1" applyAlignment="1">
      <alignment vertical="center" wrapText="1"/>
    </xf>
    <xf numFmtId="164" fontId="3" fillId="2" borderId="36" xfId="0" applyNumberFormat="1" applyFont="1" applyFill="1" applyBorder="1" applyAlignment="1">
      <alignment horizontal="center" vertical="center"/>
    </xf>
    <xf numFmtId="43" fontId="8" fillId="0" borderId="36" xfId="1" applyNumberFormat="1" applyFont="1" applyFill="1" applyBorder="1" applyAlignment="1">
      <alignment vertical="center"/>
    </xf>
    <xf numFmtId="43" fontId="3" fillId="5" borderId="38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3" fillId="2" borderId="47" xfId="1" applyNumberFormat="1" applyFont="1" applyFill="1" applyBorder="1" applyAlignment="1">
      <alignment vertical="center"/>
    </xf>
    <xf numFmtId="43" fontId="3" fillId="4" borderId="38" xfId="1" applyNumberFormat="1" applyFont="1" applyFill="1" applyBorder="1" applyAlignment="1">
      <alignment vertical="center"/>
    </xf>
    <xf numFmtId="0" fontId="0" fillId="4" borderId="38" xfId="0" applyFill="1" applyBorder="1" applyAlignment="1">
      <alignment vertical="center" wrapText="1"/>
    </xf>
    <xf numFmtId="0" fontId="0" fillId="4" borderId="38" xfId="0" applyFill="1" applyBorder="1" applyAlignment="1">
      <alignment vertical="center"/>
    </xf>
    <xf numFmtId="15" fontId="3" fillId="4" borderId="38" xfId="0" applyNumberFormat="1" applyFont="1" applyFill="1" applyBorder="1" applyAlignment="1">
      <alignment horizontal="center" vertical="center"/>
    </xf>
    <xf numFmtId="0" fontId="3" fillId="4" borderId="38" xfId="0" applyFont="1" applyFill="1" applyBorder="1" applyAlignment="1">
      <alignment horizontal="center" vertical="center"/>
    </xf>
    <xf numFmtId="164" fontId="8" fillId="5" borderId="38" xfId="1" applyFont="1" applyFill="1" applyBorder="1" applyAlignment="1">
      <alignment vertical="center"/>
    </xf>
    <xf numFmtId="0" fontId="5" fillId="2" borderId="47" xfId="1" applyNumberFormat="1" applyFont="1" applyFill="1" applyBorder="1" applyAlignment="1">
      <alignment vertical="center"/>
    </xf>
    <xf numFmtId="164" fontId="8" fillId="4" borderId="36" xfId="1" applyFont="1" applyFill="1" applyBorder="1" applyAlignment="1">
      <alignment vertical="center"/>
    </xf>
    <xf numFmtId="3" fontId="3" fillId="4" borderId="36" xfId="1" applyNumberFormat="1" applyFont="1" applyFill="1" applyBorder="1" applyAlignment="1">
      <alignment horizontal="center" vertical="center"/>
    </xf>
    <xf numFmtId="43" fontId="8" fillId="4" borderId="36" xfId="1" applyNumberFormat="1" applyFont="1" applyFill="1" applyBorder="1" applyAlignment="1">
      <alignment vertical="center"/>
    </xf>
    <xf numFmtId="15" fontId="3" fillId="4" borderId="35" xfId="0" applyNumberFormat="1" applyFont="1" applyFill="1" applyBorder="1" applyAlignment="1">
      <alignment horizontal="center" vertical="center"/>
    </xf>
    <xf numFmtId="0" fontId="3" fillId="4" borderId="35" xfId="0" applyFont="1" applyFill="1" applyBorder="1" applyAlignment="1">
      <alignment horizontal="center" vertical="center"/>
    </xf>
    <xf numFmtId="43" fontId="8" fillId="4" borderId="35" xfId="1" applyNumberFormat="1" applyFont="1" applyFill="1" applyBorder="1" applyAlignment="1">
      <alignment vertical="center"/>
    </xf>
    <xf numFmtId="164" fontId="8" fillId="0" borderId="36" xfId="1" applyFont="1" applyFill="1" applyBorder="1" applyAlignment="1">
      <alignment vertical="center"/>
    </xf>
    <xf numFmtId="43" fontId="3" fillId="0" borderId="35" xfId="1" applyNumberFormat="1" applyFont="1" applyFill="1" applyBorder="1" applyAlignment="1">
      <alignment vertical="center"/>
    </xf>
    <xf numFmtId="164" fontId="3" fillId="0" borderId="35" xfId="1" applyFont="1" applyFill="1" applyBorder="1" applyAlignment="1">
      <alignment vertical="center"/>
    </xf>
    <xf numFmtId="164" fontId="3" fillId="0" borderId="36" xfId="1" applyFont="1" applyFill="1" applyBorder="1" applyAlignment="1">
      <alignment vertical="center"/>
    </xf>
    <xf numFmtId="14" fontId="3" fillId="4" borderId="36" xfId="1" applyNumberFormat="1" applyFont="1" applyFill="1" applyBorder="1" applyAlignment="1">
      <alignment horizontal="center" vertical="center"/>
    </xf>
    <xf numFmtId="164" fontId="3" fillId="2" borderId="38" xfId="1" applyFont="1" applyFill="1" applyBorder="1" applyAlignment="1">
      <alignment vertical="center"/>
    </xf>
    <xf numFmtId="43" fontId="8" fillId="0" borderId="38" xfId="1" applyNumberFormat="1" applyFont="1" applyFill="1" applyBorder="1" applyAlignment="1">
      <alignment vertical="center"/>
    </xf>
    <xf numFmtId="43" fontId="5" fillId="2" borderId="38" xfId="1" applyNumberFormat="1" applyFont="1" applyFill="1" applyBorder="1" applyAlignment="1">
      <alignment vertical="center"/>
    </xf>
    <xf numFmtId="164" fontId="8" fillId="2" borderId="38" xfId="1" applyFont="1" applyFill="1" applyBorder="1" applyAlignment="1">
      <alignment vertical="center"/>
    </xf>
    <xf numFmtId="43" fontId="8" fillId="2" borderId="38" xfId="1" applyNumberFormat="1" applyFont="1" applyFill="1" applyBorder="1" applyAlignment="1">
      <alignment vertical="center"/>
    </xf>
    <xf numFmtId="43" fontId="21" fillId="4" borderId="38" xfId="1" applyNumberFormat="1" applyFont="1" applyFill="1" applyBorder="1" applyAlignment="1">
      <alignment vertical="center"/>
    </xf>
    <xf numFmtId="0" fontId="5" fillId="2" borderId="35" xfId="1" applyNumberFormat="1" applyFont="1" applyFill="1" applyBorder="1" applyAlignment="1">
      <alignment vertical="center"/>
    </xf>
    <xf numFmtId="0" fontId="5" fillId="2" borderId="35" xfId="0" applyFont="1" applyFill="1" applyBorder="1" applyAlignment="1">
      <alignment horizontal="center" vertical="center" wrapText="1"/>
    </xf>
    <xf numFmtId="0" fontId="5" fillId="6" borderId="44" xfId="1" applyNumberFormat="1" applyFont="1" applyFill="1" applyBorder="1" applyAlignment="1">
      <alignment vertical="center"/>
    </xf>
    <xf numFmtId="0" fontId="0" fillId="6" borderId="44" xfId="0" applyFill="1" applyBorder="1" applyAlignment="1">
      <alignment vertical="center"/>
    </xf>
    <xf numFmtId="15" fontId="3" fillId="6" borderId="44" xfId="0" applyNumberFormat="1" applyFont="1" applyFill="1" applyBorder="1" applyAlignment="1">
      <alignment horizontal="center" vertical="center"/>
    </xf>
    <xf numFmtId="0" fontId="3" fillId="6" borderId="44" xfId="0" applyFont="1" applyFill="1" applyBorder="1" applyAlignment="1">
      <alignment horizontal="center" vertical="center"/>
    </xf>
    <xf numFmtId="43" fontId="3" fillId="6" borderId="44" xfId="1" applyNumberFormat="1" applyFont="1" applyFill="1" applyBorder="1" applyAlignment="1">
      <alignment vertical="center"/>
    </xf>
    <xf numFmtId="164" fontId="3" fillId="6" borderId="44" xfId="1" applyFont="1" applyFill="1" applyBorder="1" applyAlignment="1">
      <alignment vertical="center"/>
    </xf>
    <xf numFmtId="0" fontId="5" fillId="6" borderId="44" xfId="0" applyFont="1" applyFill="1" applyBorder="1" applyAlignment="1">
      <alignment horizontal="center" vertical="center" wrapText="1"/>
    </xf>
    <xf numFmtId="0" fontId="0" fillId="6" borderId="44" xfId="0" applyFill="1" applyBorder="1" applyAlignment="1">
      <alignment vertical="center" wrapText="1"/>
    </xf>
    <xf numFmtId="43" fontId="5" fillId="2" borderId="36" xfId="1" applyNumberFormat="1" applyFont="1" applyFill="1" applyBorder="1" applyAlignment="1">
      <alignment horizontal="center" vertical="center"/>
    </xf>
    <xf numFmtId="164" fontId="8" fillId="4" borderId="35" xfId="1" applyFont="1" applyFill="1" applyBorder="1" applyAlignment="1">
      <alignment vertical="center"/>
    </xf>
    <xf numFmtId="3" fontId="3" fillId="4" borderId="36" xfId="0" applyNumberFormat="1" applyFont="1" applyFill="1" applyBorder="1" applyAlignment="1">
      <alignment horizontal="center" vertical="center"/>
    </xf>
    <xf numFmtId="0" fontId="0" fillId="4" borderId="35" xfId="0" applyFill="1" applyBorder="1" applyAlignment="1">
      <alignment vertical="center" wrapText="1"/>
    </xf>
    <xf numFmtId="3" fontId="3" fillId="4" borderId="38" xfId="0" applyNumberFormat="1" applyFont="1" applyFill="1" applyBorder="1" applyAlignment="1">
      <alignment horizontal="center" vertical="center"/>
    </xf>
    <xf numFmtId="43" fontId="8" fillId="4" borderId="38" xfId="1" applyNumberFormat="1" applyFont="1" applyFill="1" applyBorder="1" applyAlignment="1">
      <alignment vertical="center"/>
    </xf>
    <xf numFmtId="0" fontId="0" fillId="4" borderId="35" xfId="0" applyFill="1" applyBorder="1" applyAlignment="1">
      <alignment vertical="center"/>
    </xf>
    <xf numFmtId="3" fontId="3" fillId="2" borderId="38" xfId="0" applyNumberFormat="1" applyFont="1" applyFill="1" applyBorder="1" applyAlignment="1">
      <alignment horizontal="center" vertical="center"/>
    </xf>
    <xf numFmtId="0" fontId="7" fillId="4" borderId="35" xfId="0" applyFont="1" applyFill="1" applyBorder="1" applyAlignment="1">
      <alignment vertical="center"/>
    </xf>
    <xf numFmtId="0" fontId="0" fillId="0" borderId="38" xfId="0" applyBorder="1" applyAlignment="1">
      <alignment vertical="center"/>
    </xf>
    <xf numFmtId="164" fontId="0" fillId="2" borderId="38" xfId="1" applyFont="1" applyFill="1" applyBorder="1" applyAlignment="1">
      <alignment vertical="center"/>
    </xf>
    <xf numFmtId="0" fontId="0" fillId="2" borderId="38" xfId="0" applyFill="1" applyBorder="1" applyAlignment="1">
      <alignment vertical="center"/>
    </xf>
    <xf numFmtId="43" fontId="3" fillId="2" borderId="38" xfId="1" applyNumberFormat="1" applyFont="1" applyFill="1" applyBorder="1" applyAlignment="1">
      <alignment horizontal="center" vertical="center"/>
    </xf>
    <xf numFmtId="43" fontId="3" fillId="2" borderId="35" xfId="1" applyNumberFormat="1" applyFont="1" applyFill="1" applyBorder="1" applyAlignment="1">
      <alignment vertical="center" wrapText="1"/>
    </xf>
    <xf numFmtId="0" fontId="3" fillId="2" borderId="38" xfId="1" applyNumberFormat="1" applyFont="1" applyFill="1" applyBorder="1" applyAlignment="1">
      <alignment horizontal="center" vertical="center"/>
    </xf>
    <xf numFmtId="0" fontId="7" fillId="0" borderId="38" xfId="0" applyFont="1" applyBorder="1" applyAlignment="1">
      <alignment vertical="center"/>
    </xf>
    <xf numFmtId="0" fontId="3" fillId="2" borderId="35" xfId="1" applyNumberFormat="1" applyFont="1" applyFill="1" applyBorder="1" applyAlignment="1">
      <alignment horizontal="center" vertical="center"/>
    </xf>
    <xf numFmtId="0" fontId="7" fillId="0" borderId="35" xfId="0" applyFont="1" applyBorder="1" applyAlignment="1">
      <alignment vertical="center"/>
    </xf>
    <xf numFmtId="0" fontId="10" fillId="2" borderId="35" xfId="0" applyFont="1" applyFill="1" applyBorder="1" applyAlignment="1">
      <alignment horizontal="center" vertical="center" wrapText="1"/>
    </xf>
    <xf numFmtId="164" fontId="5" fillId="2" borderId="35" xfId="1" applyFont="1" applyFill="1" applyBorder="1" applyAlignment="1">
      <alignment horizontal="center" vertical="center" wrapText="1"/>
    </xf>
    <xf numFmtId="164" fontId="3" fillId="2" borderId="47" xfId="1" applyFont="1" applyFill="1" applyBorder="1" applyAlignment="1">
      <alignment vertical="center"/>
    </xf>
    <xf numFmtId="164" fontId="3" fillId="2" borderId="38" xfId="0" applyNumberFormat="1" applyFont="1" applyFill="1" applyBorder="1" applyAlignment="1">
      <alignment horizontal="center" vertical="center"/>
    </xf>
    <xf numFmtId="14" fontId="3" fillId="4" borderId="35" xfId="1" applyNumberFormat="1" applyFont="1" applyFill="1" applyBorder="1" applyAlignment="1">
      <alignment vertical="center"/>
    </xf>
    <xf numFmtId="3" fontId="3" fillId="4" borderId="35" xfId="1" applyNumberFormat="1" applyFont="1" applyFill="1" applyBorder="1" applyAlignment="1">
      <alignment horizontal="center" vertical="center"/>
    </xf>
    <xf numFmtId="0" fontId="3" fillId="4" borderId="36" xfId="1" applyNumberFormat="1" applyFont="1" applyFill="1" applyBorder="1" applyAlignment="1">
      <alignment horizontal="center" vertical="center"/>
    </xf>
    <xf numFmtId="0" fontId="7" fillId="4" borderId="36" xfId="0" applyFont="1" applyFill="1" applyBorder="1" applyAlignment="1">
      <alignment vertical="center"/>
    </xf>
    <xf numFmtId="0" fontId="7" fillId="4" borderId="38" xfId="0" applyFont="1" applyFill="1" applyBorder="1" applyAlignment="1">
      <alignment vertical="center"/>
    </xf>
    <xf numFmtId="14" fontId="3" fillId="4" borderId="35" xfId="1" applyNumberFormat="1" applyFont="1" applyFill="1" applyBorder="1" applyAlignment="1">
      <alignment horizontal="center" vertical="center"/>
    </xf>
    <xf numFmtId="43" fontId="3" fillId="4" borderId="36" xfId="1" applyNumberFormat="1" applyFont="1" applyFill="1" applyBorder="1" applyAlignment="1">
      <alignment horizontal="center" vertical="center"/>
    </xf>
    <xf numFmtId="43" fontId="5" fillId="2" borderId="35" xfId="1" applyNumberFormat="1" applyFont="1" applyFill="1" applyBorder="1" applyAlignment="1">
      <alignment vertical="center"/>
    </xf>
    <xf numFmtId="14" fontId="3" fillId="4" borderId="36" xfId="0" applyNumberFormat="1" applyFont="1" applyFill="1" applyBorder="1" applyAlignment="1">
      <alignment horizontal="center" vertical="center" wrapText="1"/>
    </xf>
    <xf numFmtId="0" fontId="3" fillId="4" borderId="36" xfId="0" applyFont="1" applyFill="1" applyBorder="1" applyAlignment="1">
      <alignment horizontal="center" vertical="center" wrapText="1"/>
    </xf>
    <xf numFmtId="164" fontId="8" fillId="4" borderId="36" xfId="1" applyFont="1" applyFill="1" applyBorder="1" applyAlignment="1">
      <alignment horizontal="center" vertical="center" wrapText="1"/>
    </xf>
    <xf numFmtId="3" fontId="3" fillId="4" borderId="35" xfId="0" applyNumberFormat="1" applyFont="1" applyFill="1" applyBorder="1" applyAlignment="1">
      <alignment horizontal="center" vertical="center"/>
    </xf>
    <xf numFmtId="0" fontId="23" fillId="8" borderId="44" xfId="1" applyNumberFormat="1" applyFont="1" applyFill="1" applyBorder="1" applyAlignment="1">
      <alignment vertical="center" wrapText="1"/>
    </xf>
    <xf numFmtId="0" fontId="23" fillId="8" borderId="44" xfId="0" applyFont="1" applyFill="1" applyBorder="1" applyAlignment="1">
      <alignment horizontal="center" vertical="center" wrapText="1"/>
    </xf>
    <xf numFmtId="43" fontId="24" fillId="8" borderId="44" xfId="1" applyNumberFormat="1" applyFont="1" applyFill="1" applyBorder="1" applyAlignment="1">
      <alignment horizontal="center" vertical="center" wrapText="1"/>
    </xf>
    <xf numFmtId="43" fontId="23" fillId="8" borderId="44" xfId="1" applyNumberFormat="1" applyFont="1" applyFill="1" applyBorder="1" applyAlignment="1">
      <alignment horizontal="center" vertical="center" wrapText="1"/>
    </xf>
    <xf numFmtId="164" fontId="23" fillId="8" borderId="44" xfId="1" applyFont="1" applyFill="1" applyBorder="1" applyAlignment="1">
      <alignment horizontal="center" vertical="center" wrapText="1"/>
    </xf>
    <xf numFmtId="0" fontId="3" fillId="4" borderId="35" xfId="1" applyNumberFormat="1" applyFont="1" applyFill="1" applyBorder="1" applyAlignment="1">
      <alignment horizontal="center" vertical="center"/>
    </xf>
    <xf numFmtId="0" fontId="5" fillId="0" borderId="35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14" fontId="3" fillId="4" borderId="36" xfId="1" applyNumberFormat="1" applyFont="1" applyFill="1" applyBorder="1" applyAlignment="1">
      <alignment vertical="center"/>
    </xf>
    <xf numFmtId="0" fontId="3" fillId="4" borderId="38" xfId="1" applyNumberFormat="1" applyFont="1" applyFill="1" applyBorder="1" applyAlignment="1">
      <alignment horizontal="center" vertical="center"/>
    </xf>
    <xf numFmtId="0" fontId="0" fillId="4" borderId="0" xfId="0" applyFill="1" applyAlignment="1">
      <alignment vertical="center"/>
    </xf>
    <xf numFmtId="0" fontId="2" fillId="6" borderId="44" xfId="0" applyFont="1" applyFill="1" applyBorder="1" applyAlignment="1">
      <alignment vertical="center"/>
    </xf>
    <xf numFmtId="0" fontId="0" fillId="6" borderId="44" xfId="0" applyFill="1" applyBorder="1" applyAlignment="1">
      <alignment horizontal="center" vertical="center"/>
    </xf>
    <xf numFmtId="0" fontId="5" fillId="2" borderId="35" xfId="1" applyNumberFormat="1" applyFont="1" applyFill="1" applyBorder="1" applyAlignment="1">
      <alignment horizontal="center" vertical="center"/>
    </xf>
    <xf numFmtId="0" fontId="5" fillId="2" borderId="36" xfId="1" applyNumberFormat="1" applyFont="1" applyFill="1" applyBorder="1" applyAlignment="1">
      <alignment horizontal="center" vertical="center"/>
    </xf>
    <xf numFmtId="0" fontId="5" fillId="2" borderId="38" xfId="1" applyNumberFormat="1" applyFont="1" applyFill="1" applyBorder="1" applyAlignment="1">
      <alignment horizontal="center" vertical="center"/>
    </xf>
    <xf numFmtId="0" fontId="5" fillId="2" borderId="47" xfId="1" applyNumberFormat="1" applyFont="1" applyFill="1" applyBorder="1" applyAlignment="1">
      <alignment horizontal="center" vertical="center" wrapText="1"/>
    </xf>
    <xf numFmtId="0" fontId="5" fillId="2" borderId="38" xfId="1" applyNumberFormat="1" applyFont="1" applyFill="1" applyBorder="1" applyAlignment="1">
      <alignment horizontal="center" vertical="center" wrapText="1"/>
    </xf>
    <xf numFmtId="0" fontId="5" fillId="2" borderId="35" xfId="1" applyNumberFormat="1" applyFont="1" applyFill="1" applyBorder="1" applyAlignment="1">
      <alignment horizontal="center" vertical="center" wrapText="1"/>
    </xf>
    <xf numFmtId="43" fontId="18" fillId="2" borderId="0" xfId="1" applyNumberFormat="1" applyFont="1" applyFill="1" applyBorder="1" applyAlignment="1">
      <alignment vertical="center"/>
    </xf>
    <xf numFmtId="164" fontId="3" fillId="4" borderId="36" xfId="0" applyNumberFormat="1" applyFont="1" applyFill="1" applyBorder="1" applyAlignment="1">
      <alignment horizontal="center" vertical="center"/>
    </xf>
    <xf numFmtId="43" fontId="3" fillId="4" borderId="47" xfId="1" applyNumberFormat="1" applyFont="1" applyFill="1" applyBorder="1" applyAlignment="1">
      <alignment vertical="center"/>
    </xf>
    <xf numFmtId="43" fontId="3" fillId="4" borderId="46" xfId="1" applyNumberFormat="1" applyFont="1" applyFill="1" applyBorder="1" applyAlignment="1">
      <alignment vertical="center"/>
    </xf>
    <xf numFmtId="0" fontId="3" fillId="2" borderId="47" xfId="1" applyNumberFormat="1" applyFont="1" applyFill="1" applyBorder="1" applyAlignment="1">
      <alignment horizontal="center" vertical="center"/>
    </xf>
    <xf numFmtId="9" fontId="3" fillId="2" borderId="47" xfId="1" applyNumberFormat="1" applyFont="1" applyFill="1" applyBorder="1" applyAlignment="1">
      <alignment vertical="center"/>
    </xf>
    <xf numFmtId="43" fontId="5" fillId="2" borderId="47" xfId="1" applyNumberFormat="1" applyFont="1" applyFill="1" applyBorder="1" applyAlignment="1">
      <alignment vertical="center"/>
    </xf>
    <xf numFmtId="43" fontId="18" fillId="2" borderId="0" xfId="1" applyNumberFormat="1" applyFont="1" applyFill="1" applyBorder="1" applyAlignment="1">
      <alignment horizontal="center" vertical="center"/>
    </xf>
    <xf numFmtId="43" fontId="22" fillId="2" borderId="0" xfId="1" applyNumberFormat="1" applyFont="1" applyFill="1" applyBorder="1" applyAlignment="1">
      <alignment horizontal="center" vertical="center"/>
    </xf>
    <xf numFmtId="0" fontId="0" fillId="2" borderId="51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0" fillId="7" borderId="42" xfId="0" applyFont="1" applyFill="1" applyBorder="1" applyAlignment="1">
      <alignment horizontal="center" vertical="center"/>
    </xf>
    <xf numFmtId="0" fontId="20" fillId="7" borderId="45" xfId="0" applyFont="1" applyFill="1" applyBorder="1" applyAlignment="1">
      <alignment horizontal="center" vertical="center"/>
    </xf>
    <xf numFmtId="0" fontId="20" fillId="7" borderId="43" xfId="0" applyFont="1" applyFill="1" applyBorder="1" applyAlignment="1">
      <alignment horizontal="center" vertical="center"/>
    </xf>
    <xf numFmtId="43" fontId="18" fillId="9" borderId="27" xfId="1" applyNumberFormat="1" applyFont="1" applyFill="1" applyBorder="1" applyAlignment="1">
      <alignment horizontal="center" vertical="center"/>
    </xf>
    <xf numFmtId="43" fontId="18" fillId="9" borderId="37" xfId="1" applyNumberFormat="1" applyFont="1" applyFill="1" applyBorder="1" applyAlignment="1">
      <alignment horizontal="center" vertical="center"/>
    </xf>
    <xf numFmtId="43" fontId="18" fillId="2" borderId="27" xfId="1" applyNumberFormat="1" applyFont="1" applyFill="1" applyBorder="1" applyAlignment="1">
      <alignment horizontal="center" vertical="center"/>
    </xf>
    <xf numFmtId="43" fontId="18" fillId="2" borderId="32" xfId="1" applyNumberFormat="1" applyFont="1" applyFill="1" applyBorder="1" applyAlignment="1">
      <alignment horizontal="center" vertical="center"/>
    </xf>
    <xf numFmtId="43" fontId="19" fillId="8" borderId="39" xfId="1" applyNumberFormat="1" applyFont="1" applyFill="1" applyBorder="1" applyAlignment="1">
      <alignment horizontal="center" vertical="center"/>
    </xf>
    <xf numFmtId="43" fontId="19" fillId="8" borderId="40" xfId="1" applyNumberFormat="1" applyFont="1" applyFill="1" applyBorder="1" applyAlignment="1">
      <alignment horizontal="center" vertical="center"/>
    </xf>
    <xf numFmtId="43" fontId="19" fillId="8" borderId="41" xfId="1" applyNumberFormat="1" applyFont="1" applyFill="1" applyBorder="1" applyAlignment="1">
      <alignment horizontal="center" vertical="center"/>
    </xf>
    <xf numFmtId="14" fontId="18" fillId="7" borderId="39" xfId="1" applyNumberFormat="1" applyFont="1" applyFill="1" applyBorder="1" applyAlignment="1">
      <alignment horizontal="center" vertical="center"/>
    </xf>
    <xf numFmtId="43" fontId="18" fillId="7" borderId="40" xfId="1" applyNumberFormat="1" applyFont="1" applyFill="1" applyBorder="1" applyAlignment="1">
      <alignment horizontal="center" vertical="center"/>
    </xf>
    <xf numFmtId="43" fontId="18" fillId="7" borderId="41" xfId="1" applyNumberFormat="1" applyFont="1" applyFill="1" applyBorder="1" applyAlignment="1">
      <alignment horizontal="center" vertical="center"/>
    </xf>
    <xf numFmtId="43" fontId="18" fillId="9" borderId="26" xfId="1" applyNumberFormat="1" applyFont="1" applyFill="1" applyBorder="1" applyAlignment="1">
      <alignment horizontal="center" vertical="center"/>
    </xf>
    <xf numFmtId="43" fontId="18" fillId="9" borderId="31" xfId="1" applyNumberFormat="1" applyFont="1" applyFill="1" applyBorder="1" applyAlignment="1">
      <alignment horizontal="center" vertical="center"/>
    </xf>
    <xf numFmtId="43" fontId="18" fillId="2" borderId="26" xfId="1" applyNumberFormat="1" applyFont="1" applyFill="1" applyBorder="1" applyAlignment="1">
      <alignment horizontal="center" vertical="center"/>
    </xf>
    <xf numFmtId="43" fontId="18" fillId="2" borderId="31" xfId="1" applyNumberFormat="1" applyFont="1" applyFill="1" applyBorder="1" applyAlignment="1">
      <alignment horizontal="center" vertical="center"/>
    </xf>
    <xf numFmtId="43" fontId="18" fillId="9" borderId="34" xfId="1" applyNumberFormat="1" applyFont="1" applyFill="1" applyBorder="1" applyAlignment="1">
      <alignment horizontal="center" vertical="center"/>
    </xf>
    <xf numFmtId="43" fontId="18" fillId="9" borderId="24" xfId="1" applyNumberFormat="1" applyFont="1" applyFill="1" applyBorder="1" applyAlignment="1">
      <alignment horizontal="center" vertical="center"/>
    </xf>
    <xf numFmtId="43" fontId="18" fillId="2" borderId="34" xfId="1" applyNumberFormat="1" applyFont="1" applyFill="1" applyBorder="1" applyAlignment="1">
      <alignment horizontal="center" vertical="center"/>
    </xf>
    <xf numFmtId="43" fontId="18" fillId="2" borderId="29" xfId="1" applyNumberFormat="1" applyFont="1" applyFill="1" applyBorder="1" applyAlignment="1">
      <alignment horizontal="center" vertical="center"/>
    </xf>
    <xf numFmtId="0" fontId="20" fillId="7" borderId="48" xfId="0" applyFont="1" applyFill="1" applyBorder="1" applyAlignment="1">
      <alignment horizontal="center" vertical="center"/>
    </xf>
    <xf numFmtId="0" fontId="20" fillId="7" borderId="49" xfId="0" applyFont="1" applyFill="1" applyBorder="1" applyAlignment="1">
      <alignment horizontal="center" vertical="center"/>
    </xf>
    <xf numFmtId="0" fontId="20" fillId="7" borderId="50" xfId="0" applyFont="1" applyFill="1" applyBorder="1" applyAlignment="1">
      <alignment horizontal="center" vertical="center"/>
    </xf>
    <xf numFmtId="43" fontId="5" fillId="2" borderId="15" xfId="1" applyNumberFormat="1" applyFont="1" applyFill="1" applyBorder="1" applyAlignment="1">
      <alignment horizontal="center" vertical="center"/>
    </xf>
    <xf numFmtId="0" fontId="11" fillId="2" borderId="25" xfId="0" applyFont="1" applyFill="1" applyBorder="1" applyAlignment="1">
      <alignment horizontal="left" vertical="center"/>
    </xf>
    <xf numFmtId="0" fontId="11" fillId="2" borderId="24" xfId="0" applyFont="1" applyFill="1" applyBorder="1" applyAlignment="1">
      <alignment horizontal="left" vertical="center"/>
    </xf>
    <xf numFmtId="43" fontId="16" fillId="2" borderId="25" xfId="1" applyNumberFormat="1" applyFont="1" applyFill="1" applyBorder="1" applyAlignment="1">
      <alignment horizontal="center" vertical="center"/>
    </xf>
    <xf numFmtId="43" fontId="16" fillId="2" borderId="1" xfId="1" applyNumberFormat="1" applyFont="1" applyFill="1" applyBorder="1" applyAlignment="1">
      <alignment horizontal="center" vertical="center"/>
    </xf>
    <xf numFmtId="43" fontId="16" fillId="2" borderId="24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B397"/>
  <sheetViews>
    <sheetView tabSelected="1" topLeftCell="A24" zoomScale="85" zoomScaleNormal="85" zoomScaleSheetLayoutView="86" workbookViewId="0">
      <selection activeCell="D28" sqref="D28"/>
    </sheetView>
  </sheetViews>
  <sheetFormatPr defaultColWidth="9" defaultRowHeight="25" customHeight="1" outlineLevelCol="1" x14ac:dyDescent="0.35"/>
  <cols>
    <col min="1" max="1" width="9.54296875" style="1" bestFit="1" customWidth="1"/>
    <col min="2" max="2" width="35.453125" style="2" customWidth="1"/>
    <col min="3" max="3" width="14.7265625" style="2" bestFit="1" customWidth="1"/>
    <col min="4" max="4" width="15.26953125" style="136" bestFit="1" customWidth="1"/>
    <col min="5" max="5" width="16.7265625" style="2" bestFit="1" customWidth="1"/>
    <col min="6" max="7" width="16.7265625" style="2" customWidth="1" outlineLevel="1"/>
    <col min="8" max="8" width="16.81640625" style="3" bestFit="1" customWidth="1" outlineLevel="1"/>
    <col min="9" max="9" width="17.7265625" style="3" customWidth="1" outlineLevel="1"/>
    <col min="10" max="10" width="19.81640625" style="2" customWidth="1" outlineLevel="1"/>
    <col min="11" max="11" width="15" style="2" customWidth="1" outlineLevel="1"/>
    <col min="12" max="12" width="18.81640625" style="2" customWidth="1" outlineLevel="1"/>
    <col min="13" max="13" width="16.1796875" style="2" customWidth="1" outlineLevel="1"/>
    <col min="14" max="14" width="16.81640625" style="146" bestFit="1" customWidth="1"/>
    <col min="15" max="15" width="16.81640625" style="2" bestFit="1" customWidth="1"/>
    <col min="16" max="16" width="14.453125" style="1" bestFit="1" customWidth="1"/>
    <col min="17" max="17" width="17.81640625" style="146" bestFit="1" customWidth="1"/>
    <col min="18" max="18" width="19" style="2" bestFit="1" customWidth="1"/>
    <col min="19" max="19" width="24.81640625" style="2" bestFit="1" customWidth="1"/>
    <col min="20" max="20" width="18" style="2" bestFit="1" customWidth="1"/>
    <col min="21" max="21" width="92.81640625" style="2" customWidth="1"/>
    <col min="22" max="22" width="18.81640625" style="2" bestFit="1" customWidth="1"/>
    <col min="23" max="16384" width="9" style="2"/>
  </cols>
  <sheetData>
    <row r="1" spans="1:22" s="160" customFormat="1" ht="24.75" customHeight="1" x14ac:dyDescent="0.35">
      <c r="A1" s="288" t="s">
        <v>323</v>
      </c>
      <c r="B1" s="289"/>
      <c r="C1" s="289"/>
      <c r="D1" s="290"/>
      <c r="H1" s="161"/>
      <c r="I1" s="161"/>
      <c r="N1" s="162"/>
      <c r="P1" s="159"/>
      <c r="Q1" s="162"/>
    </row>
    <row r="2" spans="1:22" s="160" customFormat="1" ht="25.5" customHeight="1" thickBot="1" x14ac:dyDescent="0.4">
      <c r="A2" s="309" t="s">
        <v>324</v>
      </c>
      <c r="B2" s="310"/>
      <c r="C2" s="310"/>
      <c r="D2" s="311"/>
      <c r="H2" s="161"/>
      <c r="I2" s="161"/>
      <c r="N2" s="162"/>
      <c r="P2" s="159"/>
      <c r="Q2" s="162"/>
    </row>
    <row r="3" spans="1:22" s="160" customFormat="1" ht="25" customHeight="1" thickBot="1" x14ac:dyDescent="0.4">
      <c r="A3" s="163"/>
      <c r="B3" s="164"/>
      <c r="C3" s="164"/>
      <c r="D3" s="165"/>
      <c r="E3" s="164"/>
      <c r="F3" s="164"/>
      <c r="G3" s="164"/>
      <c r="H3" s="166"/>
      <c r="I3" s="166"/>
      <c r="J3" s="164"/>
      <c r="K3" s="164"/>
      <c r="L3" s="164"/>
      <c r="M3" s="164"/>
      <c r="N3" s="167"/>
      <c r="O3" s="168"/>
      <c r="P3" s="169"/>
      <c r="Q3" s="170"/>
      <c r="R3" s="164"/>
      <c r="S3" s="164"/>
      <c r="T3" s="171"/>
      <c r="U3" s="171"/>
      <c r="V3" s="164"/>
    </row>
    <row r="4" spans="1:22" ht="47.25" customHeight="1" thickBot="1" x14ac:dyDescent="0.4">
      <c r="A4" s="257" t="s">
        <v>386</v>
      </c>
      <c r="B4" s="258" t="s">
        <v>3</v>
      </c>
      <c r="C4" s="258" t="s">
        <v>4</v>
      </c>
      <c r="D4" s="258" t="s">
        <v>5</v>
      </c>
      <c r="E4" s="258" t="s">
        <v>6</v>
      </c>
      <c r="F4" s="258" t="s">
        <v>7</v>
      </c>
      <c r="G4" s="258" t="s">
        <v>8</v>
      </c>
      <c r="H4" s="259" t="s">
        <v>9</v>
      </c>
      <c r="I4" s="260" t="s">
        <v>10</v>
      </c>
      <c r="J4" s="258" t="s">
        <v>11</v>
      </c>
      <c r="K4" s="258" t="s">
        <v>12</v>
      </c>
      <c r="L4" s="258" t="s">
        <v>13</v>
      </c>
      <c r="M4" s="258" t="s">
        <v>14</v>
      </c>
      <c r="N4" s="261" t="s">
        <v>15</v>
      </c>
      <c r="O4" s="258" t="s">
        <v>16</v>
      </c>
      <c r="P4" s="258" t="s">
        <v>163</v>
      </c>
      <c r="Q4" s="261" t="s">
        <v>314</v>
      </c>
      <c r="R4" s="258" t="s">
        <v>315</v>
      </c>
      <c r="S4" s="258" t="s">
        <v>313</v>
      </c>
      <c r="T4" s="258" t="s">
        <v>18</v>
      </c>
      <c r="U4" s="258" t="s">
        <v>19</v>
      </c>
      <c r="V4" s="258" t="s">
        <v>178</v>
      </c>
    </row>
    <row r="5" spans="1:22" ht="15" thickBot="1" x14ac:dyDescent="0.4">
      <c r="A5" s="195"/>
      <c r="B5" s="188"/>
      <c r="C5" s="188"/>
      <c r="D5" s="281"/>
      <c r="E5" s="188"/>
      <c r="F5" s="188"/>
      <c r="G5" s="188"/>
      <c r="H5" s="282">
        <v>0.18</v>
      </c>
      <c r="I5" s="188"/>
      <c r="J5" s="282">
        <v>0.01</v>
      </c>
      <c r="K5" s="282">
        <v>0.05</v>
      </c>
      <c r="L5" s="282">
        <v>0</v>
      </c>
      <c r="M5" s="282">
        <v>0.1</v>
      </c>
      <c r="N5" s="243">
        <v>0.18</v>
      </c>
      <c r="P5" s="283"/>
      <c r="Q5" s="243"/>
      <c r="R5" s="188"/>
      <c r="S5" s="243"/>
      <c r="T5" s="243"/>
      <c r="U5" s="243"/>
      <c r="V5" s="188"/>
    </row>
    <row r="6" spans="1:22" s="115" customFormat="1" ht="25" customHeight="1" thickBot="1" x14ac:dyDescent="0.4">
      <c r="A6" s="215">
        <v>51990</v>
      </c>
      <c r="B6" s="216"/>
      <c r="C6" s="217"/>
      <c r="D6" s="218"/>
      <c r="E6" s="219"/>
      <c r="F6" s="219"/>
      <c r="G6" s="219"/>
      <c r="H6" s="219"/>
      <c r="I6" s="219"/>
      <c r="J6" s="219"/>
      <c r="K6" s="219"/>
      <c r="L6" s="219"/>
      <c r="M6" s="219"/>
      <c r="N6" s="220"/>
      <c r="O6" s="219"/>
      <c r="P6" s="221">
        <f>A6</f>
        <v>51990</v>
      </c>
      <c r="Q6" s="220"/>
      <c r="R6" s="219"/>
      <c r="S6" s="219"/>
      <c r="T6" s="219"/>
      <c r="U6" s="222"/>
      <c r="V6" s="219"/>
    </row>
    <row r="7" spans="1:22" ht="25" customHeight="1" x14ac:dyDescent="0.35">
      <c r="A7" s="213">
        <v>2950000</v>
      </c>
      <c r="B7" s="214" t="s">
        <v>369</v>
      </c>
      <c r="C7" s="199">
        <v>44970</v>
      </c>
      <c r="D7" s="200">
        <v>11</v>
      </c>
      <c r="E7" s="176">
        <v>1336500</v>
      </c>
      <c r="F7" s="176">
        <v>881692.7</v>
      </c>
      <c r="G7" s="176">
        <f>ROUND(E7-F7,)</f>
        <v>454807</v>
      </c>
      <c r="H7" s="176">
        <f>ROUND(G7*$H$5,0)</f>
        <v>81865</v>
      </c>
      <c r="I7" s="176">
        <f>G7+H7</f>
        <v>536672</v>
      </c>
      <c r="J7" s="176">
        <f>ROUND(G7*$J$5,)</f>
        <v>4548</v>
      </c>
      <c r="K7" s="176">
        <f>ROUND(G7*$K$5,)</f>
        <v>22740</v>
      </c>
      <c r="L7" s="176">
        <f>ROUND(G7*$L$5,)</f>
        <v>0</v>
      </c>
      <c r="M7" s="176">
        <f>ROUND(G7*$M$5,)</f>
        <v>45481</v>
      </c>
      <c r="N7" s="224">
        <f>H7</f>
        <v>81865</v>
      </c>
      <c r="O7" s="176">
        <f>ROUND(I7-SUM(J7:N7),0)</f>
        <v>382038</v>
      </c>
      <c r="P7" s="252"/>
      <c r="Q7" s="153">
        <v>2950000</v>
      </c>
      <c r="R7" s="175">
        <f>Q7-SUM(S7:S15)</f>
        <v>-850000</v>
      </c>
      <c r="S7" s="176">
        <v>400000</v>
      </c>
      <c r="T7" s="176">
        <v>396000</v>
      </c>
      <c r="U7" s="229" t="s">
        <v>99</v>
      </c>
      <c r="V7" s="175">
        <f>SUM(O7:O15)-SUM(S7:S15)</f>
        <v>-2811162</v>
      </c>
    </row>
    <row r="8" spans="1:22" ht="25" customHeight="1" x14ac:dyDescent="0.35">
      <c r="A8" s="116"/>
      <c r="B8" s="131"/>
      <c r="C8" s="120">
        <v>45031</v>
      </c>
      <c r="D8" s="135">
        <v>2</v>
      </c>
      <c r="E8" s="121">
        <v>123750</v>
      </c>
      <c r="F8" s="121">
        <v>0</v>
      </c>
      <c r="G8" s="121">
        <f>ROUND(E8-F8,)</f>
        <v>123750</v>
      </c>
      <c r="H8" s="121">
        <f>ROUND(G8*$H$5,0)</f>
        <v>22275</v>
      </c>
      <c r="I8" s="121">
        <f>G8+H8</f>
        <v>146025</v>
      </c>
      <c r="J8" s="121">
        <f>ROUND(G8*$J$5,)</f>
        <v>1238</v>
      </c>
      <c r="K8" s="121">
        <f t="shared" ref="K8:K9" si="0">ROUND(G8*$K$5,)</f>
        <v>6188</v>
      </c>
      <c r="L8" s="121">
        <f t="shared" ref="L8:L11" si="1">ROUND(G8*$L$5,)</f>
        <v>0</v>
      </c>
      <c r="M8" s="121">
        <f>ROUND(G8*$M$5,)</f>
        <v>12375</v>
      </c>
      <c r="N8" s="196">
        <f>H8</f>
        <v>22275</v>
      </c>
      <c r="O8" s="121">
        <f>ROUND(I8-SUM(J8:N8),0)</f>
        <v>103949</v>
      </c>
      <c r="P8" s="131"/>
      <c r="Q8" s="149"/>
      <c r="R8" s="119"/>
      <c r="S8" s="121">
        <v>600000</v>
      </c>
      <c r="T8" s="121">
        <v>594000</v>
      </c>
      <c r="U8" s="122" t="s">
        <v>101</v>
      </c>
      <c r="V8" s="119"/>
    </row>
    <row r="9" spans="1:22" ht="25" customHeight="1" x14ac:dyDescent="0.35">
      <c r="A9" s="116"/>
      <c r="B9" s="131"/>
      <c r="C9" s="120">
        <v>45092</v>
      </c>
      <c r="D9" s="197">
        <v>66213</v>
      </c>
      <c r="E9" s="121">
        <v>442500</v>
      </c>
      <c r="F9" s="121">
        <v>302103</v>
      </c>
      <c r="G9" s="121">
        <f>E9-F9</f>
        <v>140397</v>
      </c>
      <c r="H9" s="121">
        <f t="shared" ref="H9:H10" si="2">ROUND(G9*$H$5,0)</f>
        <v>25271</v>
      </c>
      <c r="I9" s="121">
        <f>G9+H9</f>
        <v>165668</v>
      </c>
      <c r="J9" s="121">
        <f>ROUND(G9*$J$5,)</f>
        <v>1404</v>
      </c>
      <c r="K9" s="121">
        <f t="shared" si="0"/>
        <v>7020</v>
      </c>
      <c r="L9" s="121">
        <f t="shared" si="1"/>
        <v>0</v>
      </c>
      <c r="M9" s="121"/>
      <c r="N9" s="196">
        <f>H9</f>
        <v>25271</v>
      </c>
      <c r="O9" s="121">
        <f>ROUND(I9-SUM(J9:N9),0)</f>
        <v>131973</v>
      </c>
      <c r="P9" s="131"/>
      <c r="Q9" s="149"/>
      <c r="R9" s="119"/>
      <c r="S9" s="121">
        <v>200000</v>
      </c>
      <c r="T9" s="121">
        <v>198000</v>
      </c>
      <c r="U9" s="122" t="s">
        <v>103</v>
      </c>
      <c r="V9" s="119"/>
    </row>
    <row r="10" spans="1:22" ht="25" customHeight="1" x14ac:dyDescent="0.35">
      <c r="A10" s="116"/>
      <c r="B10" s="131"/>
      <c r="C10" s="120">
        <v>45153</v>
      </c>
      <c r="D10" s="197">
        <v>56204</v>
      </c>
      <c r="E10" s="121">
        <v>162250</v>
      </c>
      <c r="F10" s="121">
        <v>0</v>
      </c>
      <c r="G10" s="121">
        <f>E10-F10</f>
        <v>162250</v>
      </c>
      <c r="H10" s="121">
        <f t="shared" si="2"/>
        <v>29205</v>
      </c>
      <c r="I10" s="121">
        <f>G10+H10</f>
        <v>191455</v>
      </c>
      <c r="J10" s="121">
        <f>G10*1%</f>
        <v>1622.5</v>
      </c>
      <c r="K10" s="121">
        <f>G10*5%</f>
        <v>8112.5</v>
      </c>
      <c r="L10" s="121">
        <f t="shared" si="1"/>
        <v>0</v>
      </c>
      <c r="M10" s="121"/>
      <c r="N10" s="196">
        <f>H10</f>
        <v>29205</v>
      </c>
      <c r="O10" s="121">
        <f>ROUND(I10-SUM(J10:N10),0)</f>
        <v>152515</v>
      </c>
      <c r="P10" s="131"/>
      <c r="Q10" s="149"/>
      <c r="R10" s="119"/>
      <c r="S10" s="121">
        <v>200000</v>
      </c>
      <c r="T10" s="121">
        <v>198000</v>
      </c>
      <c r="U10" s="122" t="s">
        <v>151</v>
      </c>
      <c r="V10" s="119"/>
    </row>
    <row r="11" spans="1:22" ht="25" customHeight="1" x14ac:dyDescent="0.35">
      <c r="A11" s="116"/>
      <c r="B11" s="131"/>
      <c r="C11" s="120">
        <v>45214</v>
      </c>
      <c r="D11" s="197">
        <v>83228</v>
      </c>
      <c r="E11" s="121">
        <v>147500</v>
      </c>
      <c r="F11" s="121">
        <v>88925</v>
      </c>
      <c r="G11" s="121">
        <f>E11-F11</f>
        <v>58575</v>
      </c>
      <c r="H11" s="121">
        <f>G11*18%</f>
        <v>10543.5</v>
      </c>
      <c r="I11" s="121">
        <f>G11+H11</f>
        <v>69118.5</v>
      </c>
      <c r="J11" s="121">
        <f>G11*1%</f>
        <v>585.75</v>
      </c>
      <c r="K11" s="121">
        <f>G11*5%</f>
        <v>2928.75</v>
      </c>
      <c r="L11" s="121">
        <f t="shared" si="1"/>
        <v>0</v>
      </c>
      <c r="M11" s="121">
        <f>G11*10%</f>
        <v>5857.5</v>
      </c>
      <c r="N11" s="196">
        <f>H11</f>
        <v>10543.5</v>
      </c>
      <c r="O11" s="121">
        <f>ROUND(I11-SUM(J11:N11),0)</f>
        <v>49203</v>
      </c>
      <c r="P11" s="131"/>
      <c r="Q11" s="149"/>
      <c r="R11" s="119"/>
      <c r="S11" s="121">
        <v>400000</v>
      </c>
      <c r="T11" s="121">
        <v>396000</v>
      </c>
      <c r="U11" s="121" t="s">
        <v>325</v>
      </c>
      <c r="V11" s="119"/>
    </row>
    <row r="12" spans="1:22" ht="25" customHeight="1" x14ac:dyDescent="0.35">
      <c r="A12" s="116"/>
      <c r="B12" s="131" t="s">
        <v>97</v>
      </c>
      <c r="C12" s="120"/>
      <c r="D12" s="135">
        <v>11</v>
      </c>
      <c r="E12" s="121">
        <v>81865</v>
      </c>
      <c r="F12" s="158"/>
      <c r="G12" s="158"/>
      <c r="H12" s="158"/>
      <c r="I12" s="158"/>
      <c r="J12" s="158"/>
      <c r="K12" s="158"/>
      <c r="L12" s="158"/>
      <c r="M12" s="158"/>
      <c r="N12" s="202"/>
      <c r="O12" s="198">
        <f>E12</f>
        <v>81865</v>
      </c>
      <c r="P12" s="133"/>
      <c r="Q12" s="148"/>
      <c r="R12" s="124"/>
      <c r="S12" s="121">
        <v>500000</v>
      </c>
      <c r="T12" s="121">
        <v>495000</v>
      </c>
      <c r="U12" s="121" t="s">
        <v>347</v>
      </c>
      <c r="V12" s="119"/>
    </row>
    <row r="13" spans="1:22" ht="25" customHeight="1" x14ac:dyDescent="0.35">
      <c r="A13" s="116"/>
      <c r="B13" s="214" t="s">
        <v>97</v>
      </c>
      <c r="C13" s="199"/>
      <c r="D13" s="200">
        <v>2</v>
      </c>
      <c r="E13" s="176">
        <f>N8</f>
        <v>22275</v>
      </c>
      <c r="F13" s="203"/>
      <c r="G13" s="203"/>
      <c r="H13" s="203"/>
      <c r="I13" s="203"/>
      <c r="J13" s="203"/>
      <c r="K13" s="203"/>
      <c r="L13" s="203"/>
      <c r="M13" s="203"/>
      <c r="N13" s="204"/>
      <c r="O13" s="201">
        <f>E13</f>
        <v>22275</v>
      </c>
      <c r="P13" s="133"/>
      <c r="Q13" s="148"/>
      <c r="R13" s="124"/>
      <c r="S13" s="121">
        <v>500000</v>
      </c>
      <c r="T13" s="121">
        <v>495000</v>
      </c>
      <c r="U13" s="121" t="s">
        <v>389</v>
      </c>
      <c r="V13" s="119"/>
    </row>
    <row r="14" spans="1:22" ht="25" customHeight="1" x14ac:dyDescent="0.35">
      <c r="A14" s="116"/>
      <c r="B14" s="131" t="s">
        <v>97</v>
      </c>
      <c r="C14" s="120"/>
      <c r="D14" s="135" t="s">
        <v>271</v>
      </c>
      <c r="E14" s="121">
        <v>65020</v>
      </c>
      <c r="F14" s="158"/>
      <c r="G14" s="158"/>
      <c r="H14" s="158"/>
      <c r="I14" s="158"/>
      <c r="J14" s="158"/>
      <c r="K14" s="158"/>
      <c r="L14" s="158"/>
      <c r="M14" s="158"/>
      <c r="N14" s="205"/>
      <c r="O14" s="198">
        <f>E14</f>
        <v>65020</v>
      </c>
      <c r="P14" s="133"/>
      <c r="Q14" s="148"/>
      <c r="R14" s="124"/>
      <c r="S14" s="121">
        <v>500000</v>
      </c>
      <c r="T14" s="121">
        <v>495000</v>
      </c>
      <c r="U14" s="121" t="s">
        <v>368</v>
      </c>
      <c r="V14" s="119"/>
    </row>
    <row r="15" spans="1:22" ht="25" customHeight="1" thickBot="1" x14ac:dyDescent="0.4">
      <c r="B15" s="141"/>
      <c r="C15" s="178"/>
      <c r="D15" s="142"/>
      <c r="E15" s="143"/>
      <c r="F15" s="143"/>
      <c r="G15" s="143"/>
      <c r="H15" s="143"/>
      <c r="I15" s="143"/>
      <c r="J15" s="143"/>
      <c r="K15" s="143"/>
      <c r="L15" s="143"/>
      <c r="M15" s="143"/>
      <c r="N15" s="207"/>
      <c r="O15" s="208"/>
      <c r="P15" s="209"/>
      <c r="Q15" s="210"/>
      <c r="R15" s="211"/>
      <c r="S15" s="189">
        <v>500000</v>
      </c>
      <c r="T15" s="189">
        <v>495000</v>
      </c>
      <c r="U15" s="212" t="s">
        <v>370</v>
      </c>
      <c r="V15" s="143"/>
    </row>
    <row r="16" spans="1:22" ht="25" customHeight="1" thickBot="1" x14ac:dyDescent="0.4">
      <c r="A16" s="215">
        <v>52402</v>
      </c>
      <c r="B16" s="216"/>
      <c r="C16" s="217"/>
      <c r="D16" s="218"/>
      <c r="E16" s="219"/>
      <c r="F16" s="219"/>
      <c r="G16" s="219"/>
      <c r="H16" s="219"/>
      <c r="I16" s="219"/>
      <c r="J16" s="219"/>
      <c r="K16" s="219"/>
      <c r="L16" s="219"/>
      <c r="M16" s="219"/>
      <c r="N16" s="220"/>
      <c r="O16" s="219"/>
      <c r="P16" s="221">
        <f>A16</f>
        <v>52402</v>
      </c>
      <c r="Q16" s="220"/>
      <c r="R16" s="219"/>
      <c r="S16" s="219"/>
      <c r="T16" s="219"/>
      <c r="U16" s="222"/>
      <c r="V16" s="219"/>
    </row>
    <row r="17" spans="1:28" ht="25" customHeight="1" x14ac:dyDescent="0.35">
      <c r="A17" s="213">
        <v>2850000</v>
      </c>
      <c r="B17" s="214" t="s">
        <v>90</v>
      </c>
      <c r="C17" s="199">
        <v>45279</v>
      </c>
      <c r="D17" s="200">
        <v>4</v>
      </c>
      <c r="E17" s="176">
        <f>2300000*40%</f>
        <v>920000</v>
      </c>
      <c r="F17" s="176">
        <f>122843+214154</f>
        <v>336997</v>
      </c>
      <c r="G17" s="176">
        <f>ROUND(E17-F17,)</f>
        <v>583003</v>
      </c>
      <c r="H17" s="176">
        <f>ROUND(G17*$H$5,0)</f>
        <v>104941</v>
      </c>
      <c r="I17" s="176">
        <f>G17+H17</f>
        <v>687944</v>
      </c>
      <c r="J17" s="176">
        <f>ROUND(G17*$J$5,)</f>
        <v>5830</v>
      </c>
      <c r="K17" s="176">
        <f>ROUND(G17*$K$5,)</f>
        <v>29150</v>
      </c>
      <c r="L17" s="176">
        <f>ROUND(G17*$L$12,)</f>
        <v>0</v>
      </c>
      <c r="M17" s="176">
        <f>ROUND(G17*$M$5,)</f>
        <v>58300</v>
      </c>
      <c r="N17" s="224">
        <f>H17</f>
        <v>104941</v>
      </c>
      <c r="O17" s="176">
        <f>ROUND(I17-SUM(J17:N17),0)</f>
        <v>489723</v>
      </c>
      <c r="P17" s="214"/>
      <c r="Q17" s="153">
        <v>2850000</v>
      </c>
      <c r="R17" s="175">
        <f>Q17-SUM(S17:S24)</f>
        <v>50000</v>
      </c>
      <c r="S17" s="176">
        <v>300000</v>
      </c>
      <c r="T17" s="176">
        <v>297000</v>
      </c>
      <c r="U17" s="226" t="s">
        <v>92</v>
      </c>
      <c r="V17" s="175">
        <f>SUM(O17:O24)-SUM(S17:S24)</f>
        <v>-1021690</v>
      </c>
    </row>
    <row r="18" spans="1:28" ht="25" customHeight="1" x14ac:dyDescent="0.35">
      <c r="A18" s="116"/>
      <c r="B18" s="131" t="s">
        <v>29</v>
      </c>
      <c r="C18" s="120">
        <v>44958</v>
      </c>
      <c r="D18" s="135">
        <v>4</v>
      </c>
      <c r="E18" s="121">
        <f>H17</f>
        <v>104941</v>
      </c>
      <c r="F18" s="119"/>
      <c r="G18" s="119"/>
      <c r="H18" s="119"/>
      <c r="I18" s="119"/>
      <c r="J18" s="119"/>
      <c r="K18" s="119"/>
      <c r="L18" s="119"/>
      <c r="M18" s="119"/>
      <c r="N18" s="149"/>
      <c r="O18" s="198">
        <f>E18</f>
        <v>104941</v>
      </c>
      <c r="P18" s="131"/>
      <c r="Q18" s="149"/>
      <c r="R18" s="119"/>
      <c r="S18" s="121">
        <v>300000</v>
      </c>
      <c r="T18" s="121">
        <v>297000</v>
      </c>
      <c r="U18" s="122" t="s">
        <v>94</v>
      </c>
      <c r="V18" s="119"/>
    </row>
    <row r="19" spans="1:28" ht="25" customHeight="1" x14ac:dyDescent="0.35">
      <c r="A19" s="116"/>
      <c r="B19" s="131" t="s">
        <v>90</v>
      </c>
      <c r="C19" s="120">
        <v>45031</v>
      </c>
      <c r="D19" s="135">
        <v>7</v>
      </c>
      <c r="E19" s="121">
        <f>(2579480*40%)-E17</f>
        <v>111792</v>
      </c>
      <c r="F19" s="121">
        <v>0</v>
      </c>
      <c r="G19" s="121">
        <f>ROUND(E19-F19,)</f>
        <v>111792</v>
      </c>
      <c r="H19" s="121">
        <f>ROUND(G19*$H$5,0)</f>
        <v>20123</v>
      </c>
      <c r="I19" s="121">
        <f>G19+H19</f>
        <v>131915</v>
      </c>
      <c r="J19" s="121">
        <f>ROUND(G19*$J$5,)</f>
        <v>1118</v>
      </c>
      <c r="K19" s="121">
        <f>ROUND(G19*$K$5,)</f>
        <v>5590</v>
      </c>
      <c r="L19" s="121">
        <f>ROUND(G19*$L$12,)</f>
        <v>0</v>
      </c>
      <c r="M19" s="121">
        <f>ROUND(G19*$M$5,)</f>
        <v>11179</v>
      </c>
      <c r="N19" s="196">
        <f>H19</f>
        <v>20123</v>
      </c>
      <c r="O19" s="121">
        <f>ROUND(I19-SUM(J19:N19),0)</f>
        <v>93905</v>
      </c>
      <c r="P19" s="131"/>
      <c r="Q19" s="149"/>
      <c r="R19" s="119"/>
      <c r="S19" s="121">
        <v>100000</v>
      </c>
      <c r="T19" s="121">
        <v>99000</v>
      </c>
      <c r="U19" s="122" t="s">
        <v>418</v>
      </c>
      <c r="V19" s="119"/>
    </row>
    <row r="20" spans="1:28" ht="25" customHeight="1" x14ac:dyDescent="0.35">
      <c r="A20" s="116"/>
      <c r="B20" s="131" t="s">
        <v>90</v>
      </c>
      <c r="C20" s="199">
        <v>45279</v>
      </c>
      <c r="D20" s="225">
        <v>57205</v>
      </c>
      <c r="E20" s="121">
        <v>108208</v>
      </c>
      <c r="F20" s="121"/>
      <c r="G20" s="121">
        <f t="shared" ref="G20" si="3">ROUND(E20-F20,)</f>
        <v>108208</v>
      </c>
      <c r="H20" s="121">
        <f>ROUND(G20*$H$5,0)</f>
        <v>19477</v>
      </c>
      <c r="I20" s="121">
        <f t="shared" ref="I20" si="4">G20+H20</f>
        <v>127685</v>
      </c>
      <c r="J20" s="121">
        <f>ROUND(G20*$J$5,)</f>
        <v>1082</v>
      </c>
      <c r="K20" s="121">
        <f>ROUND(G20*$K$5,)</f>
        <v>5410</v>
      </c>
      <c r="L20" s="121">
        <f>ROUND(G20*$L$12,)</f>
        <v>0</v>
      </c>
      <c r="M20" s="121">
        <f>ROUND(G20*$M$5,)</f>
        <v>10821</v>
      </c>
      <c r="N20" s="196">
        <f t="shared" ref="N20" si="5">H20</f>
        <v>19477</v>
      </c>
      <c r="O20" s="121">
        <f>ROUND(I20-SUM(J20:N20),0)</f>
        <v>90895</v>
      </c>
      <c r="P20" s="131"/>
      <c r="Q20" s="149"/>
      <c r="R20" s="119"/>
      <c r="S20" s="121">
        <v>200000</v>
      </c>
      <c r="T20" s="121">
        <v>198000</v>
      </c>
      <c r="U20" s="121" t="s">
        <v>105</v>
      </c>
      <c r="V20" s="119"/>
    </row>
    <row r="21" spans="1:28" ht="30.75" customHeight="1" x14ac:dyDescent="0.35">
      <c r="A21" s="116"/>
      <c r="B21" s="223" t="s">
        <v>29</v>
      </c>
      <c r="C21" s="120">
        <v>44958</v>
      </c>
      <c r="D21" s="135">
        <v>7</v>
      </c>
      <c r="E21" s="121">
        <v>20123</v>
      </c>
      <c r="F21" s="119"/>
      <c r="G21" s="119"/>
      <c r="H21" s="119"/>
      <c r="I21" s="119"/>
      <c r="J21" s="119"/>
      <c r="K21" s="119"/>
      <c r="L21" s="119"/>
      <c r="M21" s="119"/>
      <c r="N21" s="149"/>
      <c r="O21" s="198">
        <v>20123</v>
      </c>
      <c r="P21" s="131"/>
      <c r="Q21" s="149"/>
      <c r="R21" s="119"/>
      <c r="S21" s="121">
        <v>200000</v>
      </c>
      <c r="T21" s="121">
        <v>198000</v>
      </c>
      <c r="U21" s="121" t="s">
        <v>150</v>
      </c>
      <c r="V21" s="119"/>
    </row>
    <row r="22" spans="1:28" ht="30.75" customHeight="1" x14ac:dyDescent="0.35">
      <c r="A22" s="116"/>
      <c r="B22" s="223" t="s">
        <v>29</v>
      </c>
      <c r="C22" s="120">
        <v>45031</v>
      </c>
      <c r="D22" s="225">
        <v>57205</v>
      </c>
      <c r="E22" s="121">
        <f>N20</f>
        <v>19477</v>
      </c>
      <c r="F22" s="119"/>
      <c r="G22" s="119"/>
      <c r="H22" s="119"/>
      <c r="I22" s="119"/>
      <c r="J22" s="119"/>
      <c r="K22" s="119"/>
      <c r="L22" s="119"/>
      <c r="M22" s="119"/>
      <c r="N22" s="149"/>
      <c r="O22" s="198">
        <f>E22</f>
        <v>19477</v>
      </c>
      <c r="P22" s="131"/>
      <c r="Q22" s="149"/>
      <c r="R22" s="119"/>
      <c r="S22" s="121">
        <v>1000000</v>
      </c>
      <c r="T22" s="121">
        <v>990000</v>
      </c>
      <c r="U22" s="121" t="s">
        <v>417</v>
      </c>
      <c r="V22" s="119"/>
    </row>
    <row r="23" spans="1:28" ht="30.75" customHeight="1" x14ac:dyDescent="0.35">
      <c r="A23" s="116"/>
      <c r="B23" s="131" t="s">
        <v>90</v>
      </c>
      <c r="C23" s="199">
        <v>45279</v>
      </c>
      <c r="D23" s="225">
        <v>107</v>
      </c>
      <c r="E23" s="121">
        <v>997500</v>
      </c>
      <c r="F23" s="121">
        <v>141030</v>
      </c>
      <c r="G23" s="121">
        <f t="shared" ref="G23" si="6">ROUND(E23-F23,)</f>
        <v>856470</v>
      </c>
      <c r="H23" s="121">
        <f>ROUND(G23*$H$5,0)</f>
        <v>154165</v>
      </c>
      <c r="I23" s="121">
        <f t="shared" ref="I23" si="7">G23+H23</f>
        <v>1010635</v>
      </c>
      <c r="J23" s="121">
        <f>ROUND(G23*$J$5,)</f>
        <v>8565</v>
      </c>
      <c r="K23" s="121">
        <f>ROUND(G23*$K$5,)</f>
        <v>42824</v>
      </c>
      <c r="L23" s="121">
        <f>ROUND(G23*$L$12,)</f>
        <v>0</v>
      </c>
      <c r="M23" s="121"/>
      <c r="N23" s="196">
        <f t="shared" ref="N23" si="8">H23</f>
        <v>154165</v>
      </c>
      <c r="O23" s="121">
        <f>ROUND(I23-SUM(J23:N23),0)</f>
        <v>805081</v>
      </c>
      <c r="P23" s="131"/>
      <c r="Q23" s="149"/>
      <c r="R23" s="119"/>
      <c r="S23" s="121">
        <v>200000</v>
      </c>
      <c r="T23" s="121">
        <v>198000</v>
      </c>
      <c r="U23" s="121" t="s">
        <v>326</v>
      </c>
      <c r="V23" s="119"/>
    </row>
    <row r="24" spans="1:28" ht="30.75" customHeight="1" thickBot="1" x14ac:dyDescent="0.4">
      <c r="A24" s="126"/>
      <c r="B24" s="144" t="s">
        <v>29</v>
      </c>
      <c r="C24" s="192"/>
      <c r="D24" s="227">
        <v>107</v>
      </c>
      <c r="E24" s="189">
        <f>N23</f>
        <v>154165</v>
      </c>
      <c r="F24" s="143"/>
      <c r="G24" s="143"/>
      <c r="H24" s="143"/>
      <c r="I24" s="143"/>
      <c r="J24" s="143"/>
      <c r="K24" s="143"/>
      <c r="L24" s="143"/>
      <c r="M24" s="143"/>
      <c r="N24" s="207"/>
      <c r="O24" s="228">
        <f>E24</f>
        <v>154165</v>
      </c>
      <c r="P24" s="144"/>
      <c r="Q24" s="207"/>
      <c r="R24" s="143"/>
      <c r="S24" s="189">
        <v>500000</v>
      </c>
      <c r="T24" s="189">
        <v>495000</v>
      </c>
      <c r="U24" s="189" t="s">
        <v>367</v>
      </c>
      <c r="V24" s="143"/>
    </row>
    <row r="25" spans="1:28" ht="25" customHeight="1" thickBot="1" x14ac:dyDescent="0.4">
      <c r="A25" s="215">
        <v>52403</v>
      </c>
      <c r="B25" s="216"/>
      <c r="C25" s="217"/>
      <c r="D25" s="218"/>
      <c r="E25" s="219"/>
      <c r="F25" s="219"/>
      <c r="G25" s="219"/>
      <c r="H25" s="219"/>
      <c r="I25" s="219"/>
      <c r="J25" s="219"/>
      <c r="K25" s="219"/>
      <c r="L25" s="219"/>
      <c r="M25" s="219"/>
      <c r="N25" s="220"/>
      <c r="O25" s="219"/>
      <c r="P25" s="221">
        <f>A25</f>
        <v>52403</v>
      </c>
      <c r="Q25" s="220"/>
      <c r="R25" s="219"/>
      <c r="S25" s="219"/>
      <c r="T25" s="219"/>
      <c r="U25" s="222"/>
      <c r="V25" s="219"/>
    </row>
    <row r="26" spans="1:28" ht="25" customHeight="1" x14ac:dyDescent="0.35">
      <c r="A26" s="213">
        <v>3412500</v>
      </c>
      <c r="B26" s="214" t="s">
        <v>82</v>
      </c>
      <c r="C26" s="199">
        <v>44955</v>
      </c>
      <c r="D26" s="200">
        <v>10</v>
      </c>
      <c r="E26" s="176">
        <f>2722000*40%</f>
        <v>1088800</v>
      </c>
      <c r="F26" s="176">
        <v>424798.95</v>
      </c>
      <c r="G26" s="176">
        <f>ROUND(E26-F26,)</f>
        <v>664001</v>
      </c>
      <c r="H26" s="176">
        <f>ROUND(G26*$H$5,0)</f>
        <v>119520</v>
      </c>
      <c r="I26" s="176">
        <f>G26+H26</f>
        <v>783521</v>
      </c>
      <c r="J26" s="176">
        <f>G26*1%</f>
        <v>6640.01</v>
      </c>
      <c r="K26" s="176">
        <f>G26*5%</f>
        <v>33200.050000000003</v>
      </c>
      <c r="L26" s="176">
        <f>ROUND(G26*$L$12,)</f>
        <v>0</v>
      </c>
      <c r="M26" s="176">
        <v>66400</v>
      </c>
      <c r="N26" s="224">
        <f>H26</f>
        <v>119520</v>
      </c>
      <c r="O26" s="176">
        <f>ROUND(I26-SUM(J26:N26),0)</f>
        <v>557761</v>
      </c>
      <c r="P26" s="214"/>
      <c r="Q26" s="153">
        <v>3412500</v>
      </c>
      <c r="R26" s="175">
        <f>Q26-SUM(S26:S36)</f>
        <v>12500</v>
      </c>
      <c r="S26" s="176">
        <v>300000</v>
      </c>
      <c r="T26" s="176">
        <v>297000</v>
      </c>
      <c r="U26" s="229" t="s">
        <v>84</v>
      </c>
      <c r="V26" s="175">
        <f>SUM(O26:O36)-SUM(S26:S36)</f>
        <v>-1294395</v>
      </c>
    </row>
    <row r="27" spans="1:28" ht="25" customHeight="1" x14ac:dyDescent="0.35">
      <c r="A27" s="116"/>
      <c r="B27" s="131" t="s">
        <v>77</v>
      </c>
      <c r="C27" s="120">
        <v>45000</v>
      </c>
      <c r="D27" s="135">
        <v>10</v>
      </c>
      <c r="E27" s="121">
        <v>119520</v>
      </c>
      <c r="F27" s="119"/>
      <c r="G27" s="119"/>
      <c r="H27" s="119"/>
      <c r="I27" s="119"/>
      <c r="J27" s="119"/>
      <c r="K27" s="119"/>
      <c r="L27" s="119"/>
      <c r="M27" s="119"/>
      <c r="N27" s="149"/>
      <c r="O27" s="198">
        <v>119520</v>
      </c>
      <c r="P27" s="131"/>
      <c r="Q27" s="149"/>
      <c r="R27" s="119"/>
      <c r="S27" s="121">
        <v>300000</v>
      </c>
      <c r="T27" s="121">
        <v>297000</v>
      </c>
      <c r="U27" s="122" t="s">
        <v>86</v>
      </c>
      <c r="V27" s="119"/>
      <c r="W27" s="286" t="s">
        <v>497</v>
      </c>
      <c r="X27" s="287"/>
      <c r="Y27" s="287"/>
      <c r="Z27" s="287"/>
      <c r="AA27" s="287"/>
      <c r="AB27" s="287"/>
    </row>
    <row r="28" spans="1:28" ht="25" customHeight="1" x14ac:dyDescent="0.35">
      <c r="A28" s="116"/>
      <c r="B28" s="131" t="s">
        <v>82</v>
      </c>
      <c r="C28" s="120">
        <v>45031</v>
      </c>
      <c r="D28" s="135">
        <v>3</v>
      </c>
      <c r="E28" s="121">
        <f>(3097314*40%)-E26</f>
        <v>150125.60000000009</v>
      </c>
      <c r="F28" s="121">
        <v>0</v>
      </c>
      <c r="G28" s="121">
        <f>ROUND(E28-F28,)</f>
        <v>150126</v>
      </c>
      <c r="H28" s="121">
        <f>ROUND(G28*$H$5,0)</f>
        <v>27023</v>
      </c>
      <c r="I28" s="121">
        <f>G28+H28</f>
        <v>177149</v>
      </c>
      <c r="J28" s="121">
        <f>G28*1%</f>
        <v>1501.26</v>
      </c>
      <c r="K28" s="121">
        <f>G28*5%</f>
        <v>7506.3</v>
      </c>
      <c r="L28" s="121">
        <f>ROUND(G28*$L$12,)</f>
        <v>0</v>
      </c>
      <c r="M28" s="121">
        <v>15012.56</v>
      </c>
      <c r="N28" s="196">
        <f>H28</f>
        <v>27023</v>
      </c>
      <c r="O28" s="121">
        <f>ROUND(I28-SUM(J28:N28),0)</f>
        <v>126106</v>
      </c>
      <c r="P28" s="131"/>
      <c r="Q28" s="149"/>
      <c r="R28" s="119"/>
      <c r="S28" s="121">
        <v>150000</v>
      </c>
      <c r="T28" s="121">
        <v>148500</v>
      </c>
      <c r="U28" s="122" t="s">
        <v>88</v>
      </c>
      <c r="V28" s="119"/>
    </row>
    <row r="29" spans="1:28" ht="25" customHeight="1" x14ac:dyDescent="0.35">
      <c r="A29" s="116"/>
      <c r="B29" s="131" t="s">
        <v>77</v>
      </c>
      <c r="C29" s="120">
        <v>45172</v>
      </c>
      <c r="D29" s="135">
        <v>3</v>
      </c>
      <c r="E29" s="121">
        <f>N28</f>
        <v>27023</v>
      </c>
      <c r="F29" s="119"/>
      <c r="G29" s="119"/>
      <c r="H29" s="119"/>
      <c r="I29" s="119"/>
      <c r="J29" s="119"/>
      <c r="K29" s="119"/>
      <c r="L29" s="119"/>
      <c r="M29" s="119"/>
      <c r="N29" s="149"/>
      <c r="O29" s="198">
        <f>E29</f>
        <v>27023</v>
      </c>
      <c r="P29" s="131"/>
      <c r="Q29" s="149"/>
      <c r="R29" s="119"/>
      <c r="S29" s="121">
        <v>50000</v>
      </c>
      <c r="T29" s="121">
        <v>50000</v>
      </c>
      <c r="U29" s="122" t="s">
        <v>89</v>
      </c>
      <c r="V29" s="119"/>
    </row>
    <row r="30" spans="1:28" ht="25" customHeight="1" x14ac:dyDescent="0.35">
      <c r="A30" s="116"/>
      <c r="B30" s="131" t="s">
        <v>82</v>
      </c>
      <c r="C30" s="120">
        <v>45333</v>
      </c>
      <c r="D30" s="225">
        <v>54202</v>
      </c>
      <c r="E30" s="121">
        <v>1365000</v>
      </c>
      <c r="F30" s="121">
        <f>424799+814127.1</f>
        <v>1238926.1000000001</v>
      </c>
      <c r="G30" s="121">
        <f>ROUND(E30-F30,)</f>
        <v>126074</v>
      </c>
      <c r="H30" s="121">
        <f>ROUND(G30*$H$5,0)</f>
        <v>22693</v>
      </c>
      <c r="I30" s="121">
        <f>G30+H30</f>
        <v>148767</v>
      </c>
      <c r="J30" s="121">
        <f>G30*1%</f>
        <v>1260.74</v>
      </c>
      <c r="K30" s="121">
        <f>G30*5%</f>
        <v>6303.7000000000007</v>
      </c>
      <c r="L30" s="121">
        <f>ROUND(G30*$L$12,)</f>
        <v>0</v>
      </c>
      <c r="M30" s="121">
        <v>12607.4</v>
      </c>
      <c r="N30" s="196">
        <f>H30</f>
        <v>22693</v>
      </c>
      <c r="O30" s="121">
        <f>ROUND(I30-SUM(J30:N30),0)</f>
        <v>105902</v>
      </c>
      <c r="P30" s="131"/>
      <c r="Q30" s="149"/>
      <c r="R30" s="119"/>
      <c r="S30" s="121">
        <v>200000</v>
      </c>
      <c r="T30" s="121">
        <v>198000</v>
      </c>
      <c r="U30" s="122" t="s">
        <v>138</v>
      </c>
      <c r="V30" s="119"/>
    </row>
    <row r="31" spans="1:28" ht="25" customHeight="1" x14ac:dyDescent="0.35">
      <c r="A31" s="116"/>
      <c r="B31" s="131" t="s">
        <v>29</v>
      </c>
      <c r="C31" s="120">
        <v>45382</v>
      </c>
      <c r="D31" s="225">
        <v>54202</v>
      </c>
      <c r="E31" s="121">
        <f>N30</f>
        <v>22693</v>
      </c>
      <c r="F31" s="119"/>
      <c r="G31" s="119"/>
      <c r="H31" s="119"/>
      <c r="I31" s="119"/>
      <c r="J31" s="119"/>
      <c r="K31" s="119"/>
      <c r="L31" s="119"/>
      <c r="M31" s="119"/>
      <c r="N31" s="149"/>
      <c r="O31" s="198">
        <f>E31</f>
        <v>22693</v>
      </c>
      <c r="P31" s="131"/>
      <c r="Q31" s="149"/>
      <c r="R31" s="119"/>
      <c r="S31" s="121">
        <v>500000</v>
      </c>
      <c r="T31" s="121">
        <v>495000</v>
      </c>
      <c r="U31" s="122" t="s">
        <v>142</v>
      </c>
      <c r="V31" s="119"/>
    </row>
    <row r="32" spans="1:28" ht="25" customHeight="1" x14ac:dyDescent="0.35">
      <c r="A32" s="116"/>
      <c r="B32" s="131" t="s">
        <v>82</v>
      </c>
      <c r="C32" s="120">
        <v>45648</v>
      </c>
      <c r="D32" s="135">
        <v>114</v>
      </c>
      <c r="E32" s="121">
        <v>1023750</v>
      </c>
      <c r="F32" s="121">
        <v>0</v>
      </c>
      <c r="G32" s="121">
        <f>ROUND(E32-F32,)</f>
        <v>1023750</v>
      </c>
      <c r="H32" s="121">
        <f>ROUND(G32*$H$5,0)</f>
        <v>184275</v>
      </c>
      <c r="I32" s="121">
        <f>G32+H32</f>
        <v>1208025</v>
      </c>
      <c r="J32" s="121">
        <f>G32*1%</f>
        <v>10237.5</v>
      </c>
      <c r="K32" s="121">
        <f>G32*5%</f>
        <v>51187.5</v>
      </c>
      <c r="L32" s="121">
        <f>ROUND(G32*$L$12,)</f>
        <v>0</v>
      </c>
      <c r="M32" s="121">
        <v>0</v>
      </c>
      <c r="N32" s="196">
        <f>H32</f>
        <v>184275</v>
      </c>
      <c r="O32" s="121">
        <f>ROUND(I32-SUM(J32:N32),0)</f>
        <v>962325</v>
      </c>
      <c r="P32" s="131"/>
      <c r="Q32" s="149"/>
      <c r="R32" s="119"/>
      <c r="S32" s="121">
        <v>500000</v>
      </c>
      <c r="T32" s="121">
        <v>495000</v>
      </c>
      <c r="U32" s="122" t="s">
        <v>284</v>
      </c>
      <c r="V32" s="119"/>
    </row>
    <row r="33" spans="1:22" ht="25" customHeight="1" x14ac:dyDescent="0.35">
      <c r="A33" s="116"/>
      <c r="B33" s="131" t="s">
        <v>29</v>
      </c>
      <c r="C33" s="120">
        <v>45724</v>
      </c>
      <c r="D33" s="225">
        <v>114</v>
      </c>
      <c r="E33" s="121">
        <f>N32</f>
        <v>184275</v>
      </c>
      <c r="F33" s="119"/>
      <c r="G33" s="119"/>
      <c r="H33" s="119"/>
      <c r="I33" s="119"/>
      <c r="J33" s="119"/>
      <c r="K33" s="119"/>
      <c r="L33" s="119"/>
      <c r="M33" s="119"/>
      <c r="N33" s="149"/>
      <c r="O33" s="198">
        <f>E33</f>
        <v>184275</v>
      </c>
      <c r="P33" s="131"/>
      <c r="Q33" s="149"/>
      <c r="R33" s="119"/>
      <c r="S33" s="121">
        <v>500000</v>
      </c>
      <c r="T33" s="121">
        <v>495000</v>
      </c>
      <c r="U33" s="122" t="s">
        <v>299</v>
      </c>
      <c r="V33" s="119"/>
    </row>
    <row r="34" spans="1:22" ht="25" customHeight="1" x14ac:dyDescent="0.35">
      <c r="A34" s="116"/>
      <c r="B34" s="117"/>
      <c r="C34" s="114"/>
      <c r="D34" s="145"/>
      <c r="E34" s="119"/>
      <c r="F34" s="119"/>
      <c r="G34" s="119"/>
      <c r="H34" s="119"/>
      <c r="I34" s="119"/>
      <c r="J34" s="119"/>
      <c r="K34" s="119"/>
      <c r="L34" s="119"/>
      <c r="M34" s="119"/>
      <c r="N34" s="149"/>
      <c r="O34" s="124"/>
      <c r="P34" s="131"/>
      <c r="Q34" s="149"/>
      <c r="R34" s="119"/>
      <c r="S34" s="121">
        <v>200000</v>
      </c>
      <c r="T34" s="121">
        <v>198000</v>
      </c>
      <c r="U34" s="122" t="s">
        <v>327</v>
      </c>
      <c r="V34" s="119"/>
    </row>
    <row r="35" spans="1:22" ht="25" customHeight="1" x14ac:dyDescent="0.35">
      <c r="A35" s="116"/>
      <c r="B35" s="117"/>
      <c r="C35" s="114"/>
      <c r="D35" s="145"/>
      <c r="E35" s="119"/>
      <c r="F35" s="119"/>
      <c r="G35" s="119"/>
      <c r="H35" s="119"/>
      <c r="I35" s="119"/>
      <c r="J35" s="119"/>
      <c r="K35" s="119"/>
      <c r="L35" s="119"/>
      <c r="M35" s="119"/>
      <c r="N35" s="149"/>
      <c r="O35" s="124"/>
      <c r="P35" s="131"/>
      <c r="Q35" s="149"/>
      <c r="R35" s="119"/>
      <c r="S35" s="121">
        <v>500000</v>
      </c>
      <c r="T35" s="121">
        <v>495000</v>
      </c>
      <c r="U35" s="122" t="s">
        <v>359</v>
      </c>
      <c r="V35" s="119"/>
    </row>
    <row r="36" spans="1:22" ht="25" customHeight="1" thickBot="1" x14ac:dyDescent="0.4">
      <c r="A36" s="126"/>
      <c r="B36" s="141"/>
      <c r="C36" s="178"/>
      <c r="D36" s="230"/>
      <c r="E36" s="143"/>
      <c r="F36" s="143"/>
      <c r="G36" s="143"/>
      <c r="H36" s="143"/>
      <c r="I36" s="143"/>
      <c r="J36" s="143"/>
      <c r="K36" s="143"/>
      <c r="L36" s="143"/>
      <c r="M36" s="143"/>
      <c r="N36" s="207"/>
      <c r="O36" s="211"/>
      <c r="P36" s="144"/>
      <c r="Q36" s="207"/>
      <c r="R36" s="143"/>
      <c r="S36" s="189">
        <v>200000</v>
      </c>
      <c r="T36" s="189">
        <v>198000</v>
      </c>
      <c r="U36" s="191" t="s">
        <v>477</v>
      </c>
      <c r="V36" s="143"/>
    </row>
    <row r="37" spans="1:22" ht="25" customHeight="1" thickBot="1" x14ac:dyDescent="0.4">
      <c r="A37" s="215">
        <v>52629</v>
      </c>
      <c r="B37" s="216"/>
      <c r="C37" s="217"/>
      <c r="D37" s="218"/>
      <c r="E37" s="219"/>
      <c r="F37" s="219"/>
      <c r="G37" s="219"/>
      <c r="H37" s="219"/>
      <c r="I37" s="219"/>
      <c r="J37" s="219"/>
      <c r="K37" s="219"/>
      <c r="L37" s="219"/>
      <c r="M37" s="219"/>
      <c r="N37" s="220"/>
      <c r="O37" s="219"/>
      <c r="P37" s="221">
        <f>A37</f>
        <v>52629</v>
      </c>
      <c r="Q37" s="220"/>
      <c r="R37" s="219"/>
      <c r="S37" s="219"/>
      <c r="T37" s="219"/>
      <c r="U37" s="222"/>
      <c r="V37" s="219"/>
    </row>
    <row r="38" spans="1:22" ht="25" customHeight="1" x14ac:dyDescent="0.35">
      <c r="A38" s="213">
        <v>3675000</v>
      </c>
      <c r="B38" s="214" t="s">
        <v>28</v>
      </c>
      <c r="C38" s="199">
        <v>44946</v>
      </c>
      <c r="D38" s="200">
        <v>8</v>
      </c>
      <c r="E38" s="176">
        <v>1164000</v>
      </c>
      <c r="F38" s="176">
        <v>506542</v>
      </c>
      <c r="G38" s="176">
        <f>ROUND(E38-F38,)</f>
        <v>657458</v>
      </c>
      <c r="H38" s="176">
        <f>ROUND(G38*$H$5,0)</f>
        <v>118342</v>
      </c>
      <c r="I38" s="176">
        <f>G38+H38</f>
        <v>775800</v>
      </c>
      <c r="J38" s="176">
        <f>G38*1%</f>
        <v>6574.58</v>
      </c>
      <c r="K38" s="176">
        <f>G38*5%</f>
        <v>32872.9</v>
      </c>
      <c r="L38" s="176">
        <f>ROUND(G38*$L$12,)</f>
        <v>0</v>
      </c>
      <c r="M38" s="176">
        <f>ROUND(G38*$M$12,)</f>
        <v>0</v>
      </c>
      <c r="N38" s="224">
        <f>H38</f>
        <v>118342</v>
      </c>
      <c r="O38" s="176">
        <f>ROUND(I38-SUM(J38:N38),0)</f>
        <v>618011</v>
      </c>
      <c r="P38" s="214"/>
      <c r="Q38" s="153">
        <v>3675000</v>
      </c>
      <c r="R38" s="175">
        <f>Q38-SUM(S38:S46)</f>
        <v>-575000</v>
      </c>
      <c r="S38" s="176">
        <v>600000</v>
      </c>
      <c r="T38" s="176">
        <v>594000</v>
      </c>
      <c r="U38" s="231" t="s">
        <v>31</v>
      </c>
      <c r="V38" s="175">
        <f>SUM(O38:O46)-SUM(S38:S46)</f>
        <v>-1415485.54</v>
      </c>
    </row>
    <row r="39" spans="1:22" ht="25" customHeight="1" x14ac:dyDescent="0.35">
      <c r="A39" s="116"/>
      <c r="B39" s="131" t="s">
        <v>29</v>
      </c>
      <c r="C39" s="120">
        <v>45000</v>
      </c>
      <c r="D39" s="135">
        <v>8</v>
      </c>
      <c r="E39" s="121">
        <v>118342.46</v>
      </c>
      <c r="F39" s="119"/>
      <c r="G39" s="119"/>
      <c r="H39" s="119"/>
      <c r="I39" s="119"/>
      <c r="J39" s="119"/>
      <c r="K39" s="119"/>
      <c r="L39" s="119"/>
      <c r="M39" s="119"/>
      <c r="N39" s="149"/>
      <c r="O39" s="198">
        <f>E39</f>
        <v>118342.46</v>
      </c>
      <c r="P39" s="131"/>
      <c r="Q39" s="149"/>
      <c r="R39" s="119"/>
      <c r="S39" s="121">
        <v>500000</v>
      </c>
      <c r="T39" s="121">
        <v>495000</v>
      </c>
      <c r="U39" s="122" t="s">
        <v>33</v>
      </c>
      <c r="V39" s="119"/>
    </row>
    <row r="40" spans="1:22" ht="25" customHeight="1" x14ac:dyDescent="0.35">
      <c r="A40" s="116"/>
      <c r="B40" s="131" t="s">
        <v>28</v>
      </c>
      <c r="C40" s="120">
        <v>45031</v>
      </c>
      <c r="D40" s="135">
        <v>4</v>
      </c>
      <c r="E40" s="121">
        <f>3381796*40%-E38</f>
        <v>188718.40000000014</v>
      </c>
      <c r="F40" s="121"/>
      <c r="G40" s="121">
        <f>ROUND(E40-F40,)</f>
        <v>188718</v>
      </c>
      <c r="H40" s="121">
        <f>ROUND(G40*$H$5,0)</f>
        <v>33969</v>
      </c>
      <c r="I40" s="121">
        <f>G40+H40</f>
        <v>222687</v>
      </c>
      <c r="J40" s="121">
        <f>G40*1%</f>
        <v>1887.18</v>
      </c>
      <c r="K40" s="121">
        <f>G40*5%</f>
        <v>9435.9</v>
      </c>
      <c r="L40" s="121">
        <f>ROUND(G40*$L$12,)</f>
        <v>0</v>
      </c>
      <c r="M40" s="121">
        <f>ROUND(G40*$M$12,)</f>
        <v>0</v>
      </c>
      <c r="N40" s="196">
        <f>H40</f>
        <v>33969</v>
      </c>
      <c r="O40" s="121">
        <f>ROUND(I40-SUM(J40:N40),0)</f>
        <v>177395</v>
      </c>
      <c r="P40" s="131"/>
      <c r="Q40" s="149"/>
      <c r="R40" s="119"/>
      <c r="S40" s="121">
        <v>250000</v>
      </c>
      <c r="T40" s="121">
        <v>247500</v>
      </c>
      <c r="U40" s="121" t="s">
        <v>113</v>
      </c>
      <c r="V40" s="119"/>
    </row>
    <row r="41" spans="1:22" ht="25" customHeight="1" x14ac:dyDescent="0.35">
      <c r="A41" s="116"/>
      <c r="B41" s="131" t="s">
        <v>28</v>
      </c>
      <c r="C41" s="120">
        <v>45142</v>
      </c>
      <c r="D41" s="225">
        <v>58206</v>
      </c>
      <c r="E41" s="121">
        <f>1470000-817275.35</f>
        <v>652724.65</v>
      </c>
      <c r="F41" s="121">
        <v>535443.05000000005</v>
      </c>
      <c r="G41" s="121">
        <f t="shared" ref="G41" si="9">ROUND(E41-F41,)</f>
        <v>117282</v>
      </c>
      <c r="H41" s="121">
        <f>ROUND(G41*$H$5,0)</f>
        <v>21111</v>
      </c>
      <c r="I41" s="121">
        <f t="shared" ref="I41" si="10">G41+H41</f>
        <v>138393</v>
      </c>
      <c r="J41" s="121">
        <f>G41*1%</f>
        <v>1172.82</v>
      </c>
      <c r="K41" s="121">
        <f>G41*5%</f>
        <v>5864.1</v>
      </c>
      <c r="L41" s="122"/>
      <c r="M41" s="121">
        <v>0</v>
      </c>
      <c r="N41" s="196">
        <f t="shared" ref="N41" si="11">H41</f>
        <v>21111</v>
      </c>
      <c r="O41" s="121">
        <f t="shared" ref="O41" si="12">ROUND(I41-SUM(J41:N41),0)</f>
        <v>110245</v>
      </c>
      <c r="P41" s="131"/>
      <c r="Q41" s="149"/>
      <c r="R41" s="119"/>
      <c r="S41" s="121">
        <v>500000</v>
      </c>
      <c r="T41" s="121">
        <v>495000</v>
      </c>
      <c r="U41" s="121" t="s">
        <v>285</v>
      </c>
      <c r="V41" s="119"/>
    </row>
    <row r="42" spans="1:22" ht="25" customHeight="1" x14ac:dyDescent="0.35">
      <c r="A42" s="116"/>
      <c r="B42" s="131" t="s">
        <v>29</v>
      </c>
      <c r="C42" s="120">
        <v>45172</v>
      </c>
      <c r="D42" s="135">
        <v>4</v>
      </c>
      <c r="E42" s="121">
        <v>33969</v>
      </c>
      <c r="F42" s="119"/>
      <c r="G42" s="119"/>
      <c r="H42" s="119"/>
      <c r="I42" s="119"/>
      <c r="J42" s="119"/>
      <c r="K42" s="119"/>
      <c r="L42" s="119"/>
      <c r="M42" s="119"/>
      <c r="N42" s="149"/>
      <c r="O42" s="198">
        <v>33969</v>
      </c>
      <c r="P42" s="131"/>
      <c r="Q42" s="149"/>
      <c r="R42" s="119"/>
      <c r="S42" s="121">
        <v>500000</v>
      </c>
      <c r="T42" s="121">
        <v>495000</v>
      </c>
      <c r="U42" s="121" t="s">
        <v>300</v>
      </c>
      <c r="V42" s="119"/>
    </row>
    <row r="43" spans="1:22" ht="25" customHeight="1" x14ac:dyDescent="0.35">
      <c r="A43" s="116"/>
      <c r="B43" s="131" t="s">
        <v>28</v>
      </c>
      <c r="C43" s="120">
        <v>46013</v>
      </c>
      <c r="D43" s="225">
        <v>117</v>
      </c>
      <c r="E43" s="121">
        <v>1764000</v>
      </c>
      <c r="F43" s="121">
        <v>196642</v>
      </c>
      <c r="G43" s="121">
        <f t="shared" ref="G43" si="13">ROUND(E43-F43,)</f>
        <v>1567358</v>
      </c>
      <c r="H43" s="121">
        <f>ROUND(G43*$H$5,0)</f>
        <v>282124</v>
      </c>
      <c r="I43" s="121">
        <f t="shared" ref="I43" si="14">G43+H43</f>
        <v>1849482</v>
      </c>
      <c r="J43" s="121">
        <f>G43*1%</f>
        <v>15673.58</v>
      </c>
      <c r="K43" s="121">
        <f>G43*5%</f>
        <v>78367.900000000009</v>
      </c>
      <c r="L43" s="122"/>
      <c r="M43" s="121">
        <v>0</v>
      </c>
      <c r="N43" s="196">
        <f t="shared" ref="N43" si="15">H43</f>
        <v>282124</v>
      </c>
      <c r="O43" s="121">
        <f t="shared" ref="O43" si="16">ROUND(I43-SUM(J43:N43),0)</f>
        <v>1473317</v>
      </c>
      <c r="P43" s="131"/>
      <c r="Q43" s="149"/>
      <c r="R43" s="119"/>
      <c r="S43" s="121">
        <v>500000</v>
      </c>
      <c r="T43" s="121">
        <v>495000</v>
      </c>
      <c r="U43" s="121" t="s">
        <v>356</v>
      </c>
      <c r="V43" s="119"/>
    </row>
    <row r="44" spans="1:22" ht="25" customHeight="1" x14ac:dyDescent="0.35">
      <c r="A44" s="116"/>
      <c r="B44" s="131" t="s">
        <v>29</v>
      </c>
      <c r="C44" s="120"/>
      <c r="D44" s="135">
        <v>117</v>
      </c>
      <c r="E44" s="121">
        <f>N43</f>
        <v>282124</v>
      </c>
      <c r="F44" s="119"/>
      <c r="G44" s="119"/>
      <c r="H44" s="119"/>
      <c r="I44" s="119"/>
      <c r="J44" s="119"/>
      <c r="K44" s="119"/>
      <c r="L44" s="119"/>
      <c r="M44" s="119"/>
      <c r="N44" s="149"/>
      <c r="O44" s="198">
        <f>E44</f>
        <v>282124</v>
      </c>
      <c r="P44" s="131"/>
      <c r="Q44" s="149"/>
      <c r="R44" s="119"/>
      <c r="S44" s="121">
        <v>500000</v>
      </c>
      <c r="T44" s="121">
        <v>495000</v>
      </c>
      <c r="U44" s="121" t="s">
        <v>372</v>
      </c>
      <c r="V44" s="119"/>
    </row>
    <row r="45" spans="1:22" ht="25" customHeight="1" x14ac:dyDescent="0.35">
      <c r="A45" s="116"/>
      <c r="B45" s="131" t="s">
        <v>29</v>
      </c>
      <c r="C45" s="120"/>
      <c r="D45" s="135">
        <v>206</v>
      </c>
      <c r="E45" s="121">
        <f>N41</f>
        <v>21111</v>
      </c>
      <c r="F45" s="119"/>
      <c r="G45" s="119"/>
      <c r="H45" s="119"/>
      <c r="I45" s="119"/>
      <c r="J45" s="119"/>
      <c r="K45" s="119"/>
      <c r="L45" s="119"/>
      <c r="M45" s="119"/>
      <c r="N45" s="149"/>
      <c r="O45" s="198">
        <f>E45</f>
        <v>21111</v>
      </c>
      <c r="P45" s="131"/>
      <c r="Q45" s="149"/>
      <c r="R45" s="119"/>
      <c r="S45" s="121">
        <v>300000</v>
      </c>
      <c r="T45" s="121">
        <v>297000</v>
      </c>
      <c r="U45" s="121" t="s">
        <v>373</v>
      </c>
      <c r="V45" s="119"/>
    </row>
    <row r="46" spans="1:22" ht="25" customHeight="1" thickBot="1" x14ac:dyDescent="0.4">
      <c r="A46" s="126"/>
      <c r="B46" s="144"/>
      <c r="C46" s="178"/>
      <c r="D46" s="142"/>
      <c r="E46" s="143"/>
      <c r="F46" s="143"/>
      <c r="G46" s="143"/>
      <c r="H46" s="143"/>
      <c r="I46" s="143"/>
      <c r="J46" s="143"/>
      <c r="K46" s="143"/>
      <c r="L46" s="143"/>
      <c r="M46" s="143"/>
      <c r="N46" s="207"/>
      <c r="O46" s="143"/>
      <c r="P46" s="144"/>
      <c r="Q46" s="207"/>
      <c r="R46" s="143"/>
      <c r="S46" s="189">
        <v>600000</v>
      </c>
      <c r="T46" s="189">
        <v>594000</v>
      </c>
      <c r="U46" s="189" t="s">
        <v>374</v>
      </c>
      <c r="V46" s="143"/>
    </row>
    <row r="47" spans="1:22" ht="25" customHeight="1" thickBot="1" x14ac:dyDescent="0.4">
      <c r="A47" s="215">
        <v>52523</v>
      </c>
      <c r="B47" s="216"/>
      <c r="C47" s="217"/>
      <c r="D47" s="218"/>
      <c r="E47" s="219"/>
      <c r="F47" s="219"/>
      <c r="G47" s="219"/>
      <c r="H47" s="219"/>
      <c r="I47" s="219"/>
      <c r="J47" s="219"/>
      <c r="K47" s="219"/>
      <c r="L47" s="219"/>
      <c r="M47" s="219"/>
      <c r="N47" s="220"/>
      <c r="O47" s="219"/>
      <c r="P47" s="221">
        <f>A47</f>
        <v>52523</v>
      </c>
      <c r="Q47" s="220"/>
      <c r="R47" s="219"/>
      <c r="S47" s="219"/>
      <c r="T47" s="219"/>
      <c r="U47" s="222"/>
      <c r="V47" s="219"/>
    </row>
    <row r="48" spans="1:22" ht="25" customHeight="1" x14ac:dyDescent="0.35">
      <c r="A48" s="213">
        <v>3981250</v>
      </c>
      <c r="B48" s="214" t="s">
        <v>76</v>
      </c>
      <c r="C48" s="199">
        <v>44904</v>
      </c>
      <c r="D48" s="200">
        <v>3</v>
      </c>
      <c r="E48" s="176">
        <f>3372500*20%</f>
        <v>674500</v>
      </c>
      <c r="F48" s="176">
        <v>223474</v>
      </c>
      <c r="G48" s="176">
        <f>ROUND(E48-F48,)</f>
        <v>451026</v>
      </c>
      <c r="H48" s="176">
        <f>ROUND(G48*$H$5,0)</f>
        <v>81185</v>
      </c>
      <c r="I48" s="176">
        <f>G48+H48</f>
        <v>532211</v>
      </c>
      <c r="J48" s="176">
        <f>G48*1%</f>
        <v>4510.26</v>
      </c>
      <c r="K48" s="176">
        <f>G48*5%</f>
        <v>22551.300000000003</v>
      </c>
      <c r="L48" s="176">
        <f>ROUND(G48*$L$12,)</f>
        <v>0</v>
      </c>
      <c r="M48" s="176">
        <f>ROUND(G48*$M$12,)</f>
        <v>0</v>
      </c>
      <c r="N48" s="224">
        <f>H48</f>
        <v>81185</v>
      </c>
      <c r="O48" s="176">
        <f>ROUND(I48-SUM(J48:N48),0)</f>
        <v>423964</v>
      </c>
      <c r="P48" s="214"/>
      <c r="Q48" s="153">
        <v>3981250</v>
      </c>
      <c r="R48" s="175">
        <f>Q48-SUM(S48:S59)</f>
        <v>6250</v>
      </c>
      <c r="S48" s="176">
        <v>300000</v>
      </c>
      <c r="T48" s="176">
        <f>S48-1%*S48</f>
        <v>297000</v>
      </c>
      <c r="U48" s="229" t="s">
        <v>79</v>
      </c>
      <c r="V48" s="175">
        <f>SUM(O48:O59)-SUM(S48:S59)</f>
        <v>-1886287</v>
      </c>
    </row>
    <row r="49" spans="1:22" ht="25" customHeight="1" x14ac:dyDescent="0.35">
      <c r="A49" s="116"/>
      <c r="B49" s="131"/>
      <c r="C49" s="120">
        <v>45031</v>
      </c>
      <c r="D49" s="135">
        <v>8</v>
      </c>
      <c r="E49" s="121">
        <f>(3748120*20%)-E48</f>
        <v>75124</v>
      </c>
      <c r="F49" s="121">
        <v>0</v>
      </c>
      <c r="G49" s="121">
        <f>ROUND(E49-F49,)</f>
        <v>75124</v>
      </c>
      <c r="H49" s="121">
        <f>ROUND(G49*$H$5,0)</f>
        <v>13522</v>
      </c>
      <c r="I49" s="121">
        <f>G49+H49</f>
        <v>88646</v>
      </c>
      <c r="J49" s="121">
        <f>G49*1%</f>
        <v>751.24</v>
      </c>
      <c r="K49" s="121">
        <f>G49*5%</f>
        <v>3756.2000000000003</v>
      </c>
      <c r="L49" s="121">
        <f>ROUND(G49*$L$12,)</f>
        <v>0</v>
      </c>
      <c r="M49" s="121">
        <f>ROUND(G49*$M$12,)</f>
        <v>0</v>
      </c>
      <c r="N49" s="196">
        <f>H49</f>
        <v>13522</v>
      </c>
      <c r="O49" s="121">
        <f>ROUND(I49-SUM(J49:N49),0)</f>
        <v>70617</v>
      </c>
      <c r="P49" s="131"/>
      <c r="Q49" s="149"/>
      <c r="R49" s="119"/>
      <c r="S49" s="121">
        <v>200000</v>
      </c>
      <c r="T49" s="121">
        <f t="shared" ref="T49:T53" si="17">S49-1%*S49</f>
        <v>198000</v>
      </c>
      <c r="U49" s="122" t="s">
        <v>81</v>
      </c>
      <c r="V49" s="119"/>
    </row>
    <row r="50" spans="1:22" ht="25" customHeight="1" x14ac:dyDescent="0.35">
      <c r="A50" s="116"/>
      <c r="B50" s="131" t="s">
        <v>77</v>
      </c>
      <c r="C50" s="120">
        <v>44958</v>
      </c>
      <c r="D50" s="135">
        <v>3</v>
      </c>
      <c r="E50" s="121">
        <v>81185</v>
      </c>
      <c r="F50" s="121"/>
      <c r="G50" s="121">
        <v>0</v>
      </c>
      <c r="H50" s="121">
        <v>0</v>
      </c>
      <c r="I50" s="121"/>
      <c r="J50" s="121">
        <f>G50*1%</f>
        <v>0</v>
      </c>
      <c r="K50" s="121">
        <f>G50*5%</f>
        <v>0</v>
      </c>
      <c r="L50" s="121">
        <f>ROUND(G50*$L$12,)</f>
        <v>0</v>
      </c>
      <c r="M50" s="121">
        <v>0</v>
      </c>
      <c r="N50" s="150">
        <f t="shared" ref="N50:N51" si="18">H50</f>
        <v>0</v>
      </c>
      <c r="O50" s="198">
        <v>81185</v>
      </c>
      <c r="P50" s="131"/>
      <c r="Q50" s="149"/>
      <c r="R50" s="119"/>
      <c r="S50" s="121">
        <v>200000</v>
      </c>
      <c r="T50" s="121">
        <f t="shared" si="17"/>
        <v>198000</v>
      </c>
      <c r="U50" s="122" t="s">
        <v>107</v>
      </c>
      <c r="V50" s="119"/>
    </row>
    <row r="51" spans="1:22" ht="25" customHeight="1" x14ac:dyDescent="0.35">
      <c r="A51" s="116"/>
      <c r="B51" s="131"/>
      <c r="C51" s="120">
        <v>45142</v>
      </c>
      <c r="D51" s="225">
        <v>60208</v>
      </c>
      <c r="E51" s="121">
        <f>796250-526151</f>
        <v>270099</v>
      </c>
      <c r="F51" s="121">
        <v>223473</v>
      </c>
      <c r="G51" s="121">
        <f t="shared" ref="G51" si="19">ROUND(E51-F51,)</f>
        <v>46626</v>
      </c>
      <c r="H51" s="121">
        <f>ROUND(G51*$H$5,0)</f>
        <v>8393</v>
      </c>
      <c r="I51" s="121">
        <f t="shared" ref="I51" si="20">G51+H51</f>
        <v>55019</v>
      </c>
      <c r="J51" s="121">
        <f>G51*1%</f>
        <v>466.26</v>
      </c>
      <c r="K51" s="121">
        <f>G51*5%</f>
        <v>2331.3000000000002</v>
      </c>
      <c r="L51" s="121">
        <f>ROUND(G51*$L$12,)</f>
        <v>0</v>
      </c>
      <c r="M51" s="121"/>
      <c r="N51" s="196">
        <f t="shared" si="18"/>
        <v>8393</v>
      </c>
      <c r="O51" s="121">
        <f>ROUND(I51-SUM(J51:N51),0)</f>
        <v>43828</v>
      </c>
      <c r="P51" s="131"/>
      <c r="Q51" s="149"/>
      <c r="R51" s="119"/>
      <c r="S51" s="121">
        <v>100000</v>
      </c>
      <c r="T51" s="121">
        <f t="shared" si="17"/>
        <v>99000</v>
      </c>
      <c r="U51" s="122" t="s">
        <v>119</v>
      </c>
      <c r="V51" s="119"/>
    </row>
    <row r="52" spans="1:22" ht="25" customHeight="1" x14ac:dyDescent="0.35">
      <c r="A52" s="116"/>
      <c r="B52" s="131" t="s">
        <v>77</v>
      </c>
      <c r="C52" s="120">
        <v>45172</v>
      </c>
      <c r="D52" s="135">
        <v>8</v>
      </c>
      <c r="E52" s="121">
        <v>13522</v>
      </c>
      <c r="F52" s="119"/>
      <c r="G52" s="119"/>
      <c r="H52" s="119"/>
      <c r="I52" s="119"/>
      <c r="J52" s="119"/>
      <c r="K52" s="119"/>
      <c r="L52" s="119"/>
      <c r="M52" s="119"/>
      <c r="N52" s="149"/>
      <c r="O52" s="198">
        <v>13522</v>
      </c>
      <c r="P52" s="131"/>
      <c r="Q52" s="149"/>
      <c r="R52" s="119"/>
      <c r="S52" s="121">
        <v>100000</v>
      </c>
      <c r="T52" s="121">
        <f t="shared" si="17"/>
        <v>99000</v>
      </c>
      <c r="U52" s="122" t="s">
        <v>136</v>
      </c>
      <c r="V52" s="119"/>
    </row>
    <row r="53" spans="1:22" ht="25" customHeight="1" x14ac:dyDescent="0.35">
      <c r="A53" s="116"/>
      <c r="B53" s="131" t="s">
        <v>77</v>
      </c>
      <c r="C53" s="120">
        <v>45255</v>
      </c>
      <c r="D53" s="225">
        <v>60208</v>
      </c>
      <c r="E53" s="121">
        <v>8393</v>
      </c>
      <c r="F53" s="119"/>
      <c r="G53" s="119"/>
      <c r="H53" s="119"/>
      <c r="I53" s="119"/>
      <c r="J53" s="119"/>
      <c r="K53" s="119"/>
      <c r="L53" s="119"/>
      <c r="M53" s="119"/>
      <c r="N53" s="149"/>
      <c r="O53" s="198">
        <v>8393</v>
      </c>
      <c r="P53" s="131"/>
      <c r="Q53" s="149"/>
      <c r="R53" s="119"/>
      <c r="S53" s="121">
        <v>200000</v>
      </c>
      <c r="T53" s="121">
        <f t="shared" si="17"/>
        <v>198000</v>
      </c>
      <c r="U53" s="122" t="s">
        <v>123</v>
      </c>
      <c r="V53" s="119"/>
    </row>
    <row r="54" spans="1:22" ht="25" customHeight="1" x14ac:dyDescent="0.35">
      <c r="A54" s="116"/>
      <c r="B54" s="131" t="s">
        <v>272</v>
      </c>
      <c r="C54" s="120">
        <v>45785</v>
      </c>
      <c r="D54" s="135" t="s">
        <v>486</v>
      </c>
      <c r="E54" s="121">
        <v>97769.8</v>
      </c>
      <c r="F54" s="121"/>
      <c r="G54" s="121">
        <f t="shared" ref="G54" si="21">ROUND(E54-F54,)</f>
        <v>97770</v>
      </c>
      <c r="H54" s="121">
        <f>ROUND(G54*$H$5,0)</f>
        <v>17599</v>
      </c>
      <c r="I54" s="121">
        <f t="shared" ref="I54" si="22">G54+H54</f>
        <v>115369</v>
      </c>
      <c r="J54" s="121">
        <f>G54*1%</f>
        <v>977.7</v>
      </c>
      <c r="K54" s="121">
        <f>G54*5%</f>
        <v>4888.5</v>
      </c>
      <c r="L54" s="121">
        <f>ROUND(G54*$L$12,)</f>
        <v>0</v>
      </c>
      <c r="M54" s="121"/>
      <c r="N54" s="196">
        <f t="shared" ref="N54" si="23">H54</f>
        <v>17599</v>
      </c>
      <c r="O54" s="121">
        <f>ROUND(I54-SUM(J54:N54),0)</f>
        <v>91904</v>
      </c>
      <c r="P54" s="177"/>
      <c r="Q54" s="149"/>
      <c r="R54" s="119"/>
      <c r="S54" s="121">
        <v>1000000</v>
      </c>
      <c r="T54" s="121">
        <v>990000</v>
      </c>
      <c r="U54" s="122" t="s">
        <v>416</v>
      </c>
      <c r="V54" s="119"/>
    </row>
    <row r="55" spans="1:22" ht="25" customHeight="1" x14ac:dyDescent="0.35">
      <c r="A55" s="116"/>
      <c r="B55" s="131" t="s">
        <v>29</v>
      </c>
      <c r="C55" s="120"/>
      <c r="D55" s="135">
        <v>18</v>
      </c>
      <c r="E55" s="121">
        <f>N54</f>
        <v>17599</v>
      </c>
      <c r="F55" s="119"/>
      <c r="G55" s="119"/>
      <c r="H55" s="119"/>
      <c r="I55" s="119"/>
      <c r="J55" s="119"/>
      <c r="K55" s="119"/>
      <c r="L55" s="119"/>
      <c r="M55" s="119"/>
      <c r="N55" s="149"/>
      <c r="O55" s="196">
        <f>E55</f>
        <v>17599</v>
      </c>
      <c r="P55" s="131"/>
      <c r="Q55" s="149"/>
      <c r="R55" s="119"/>
      <c r="S55" s="121">
        <v>500000</v>
      </c>
      <c r="T55" s="121">
        <v>495000</v>
      </c>
      <c r="U55" s="122" t="s">
        <v>301</v>
      </c>
      <c r="V55" s="119"/>
    </row>
    <row r="56" spans="1:22" ht="25" customHeight="1" x14ac:dyDescent="0.35">
      <c r="A56" s="116"/>
      <c r="B56" s="131" t="s">
        <v>76</v>
      </c>
      <c r="C56" s="120">
        <v>45658</v>
      </c>
      <c r="D56" s="135">
        <v>120</v>
      </c>
      <c r="E56" s="121">
        <v>1194375</v>
      </c>
      <c r="F56" s="121">
        <v>0</v>
      </c>
      <c r="G56" s="121">
        <f>ROUND(E56-F56,)</f>
        <v>1194375</v>
      </c>
      <c r="H56" s="121">
        <f>ROUND(G56*$H$5,0)</f>
        <v>214988</v>
      </c>
      <c r="I56" s="121">
        <f>G56+H56</f>
        <v>1409363</v>
      </c>
      <c r="J56" s="121">
        <f>G56*1%</f>
        <v>11943.75</v>
      </c>
      <c r="K56" s="121">
        <f>G56*5%</f>
        <v>59718.75</v>
      </c>
      <c r="L56" s="121">
        <f>ROUND(G56*$L$12,)</f>
        <v>0</v>
      </c>
      <c r="M56" s="121">
        <v>0</v>
      </c>
      <c r="N56" s="196">
        <f>H56</f>
        <v>214988</v>
      </c>
      <c r="O56" s="121">
        <f>ROUND(I56-SUM(J56:N56),0)</f>
        <v>1122713</v>
      </c>
      <c r="P56" s="131"/>
      <c r="Q56" s="149"/>
      <c r="R56" s="119"/>
      <c r="S56" s="121">
        <v>300000</v>
      </c>
      <c r="T56" s="121">
        <v>297000</v>
      </c>
      <c r="U56" s="122" t="s">
        <v>328</v>
      </c>
      <c r="V56" s="119"/>
    </row>
    <row r="57" spans="1:22" ht="25" customHeight="1" x14ac:dyDescent="0.35">
      <c r="A57" s="116"/>
      <c r="B57" s="131" t="s">
        <v>140</v>
      </c>
      <c r="C57" s="120"/>
      <c r="D57" s="135">
        <v>120</v>
      </c>
      <c r="E57" s="121">
        <f>N56</f>
        <v>214988</v>
      </c>
      <c r="F57" s="119"/>
      <c r="G57" s="119"/>
      <c r="H57" s="119"/>
      <c r="I57" s="119"/>
      <c r="J57" s="119"/>
      <c r="K57" s="119"/>
      <c r="L57" s="119"/>
      <c r="M57" s="119"/>
      <c r="N57" s="149"/>
      <c r="O57" s="198">
        <f>E57</f>
        <v>214988</v>
      </c>
      <c r="P57" s="131"/>
      <c r="Q57" s="149"/>
      <c r="R57" s="119"/>
      <c r="S57" s="121">
        <v>500000</v>
      </c>
      <c r="T57" s="121">
        <v>495000</v>
      </c>
      <c r="U57" s="122" t="s">
        <v>357</v>
      </c>
      <c r="V57" s="119"/>
    </row>
    <row r="58" spans="1:22" ht="25" customHeight="1" x14ac:dyDescent="0.35">
      <c r="A58" s="116"/>
      <c r="B58" s="117"/>
      <c r="C58" s="114"/>
      <c r="D58" s="118"/>
      <c r="E58" s="119"/>
      <c r="F58" s="119"/>
      <c r="G58" s="119"/>
      <c r="H58" s="119"/>
      <c r="I58" s="119"/>
      <c r="J58" s="119"/>
      <c r="K58" s="119"/>
      <c r="L58" s="119"/>
      <c r="M58" s="119"/>
      <c r="N58" s="149"/>
      <c r="O58" s="119"/>
      <c r="P58" s="131"/>
      <c r="Q58" s="149"/>
      <c r="R58" s="119"/>
      <c r="S58" s="121">
        <v>500000</v>
      </c>
      <c r="T58" s="121">
        <v>495000</v>
      </c>
      <c r="U58" s="122" t="s">
        <v>366</v>
      </c>
      <c r="V58" s="119"/>
    </row>
    <row r="59" spans="1:22" ht="25" customHeight="1" thickBot="1" x14ac:dyDescent="0.4">
      <c r="A59" s="126"/>
      <c r="B59" s="141"/>
      <c r="C59" s="178"/>
      <c r="D59" s="142"/>
      <c r="E59" s="143"/>
      <c r="F59" s="143"/>
      <c r="G59" s="143"/>
      <c r="H59" s="143"/>
      <c r="I59" s="143"/>
      <c r="J59" s="143"/>
      <c r="K59" s="143"/>
      <c r="L59" s="143"/>
      <c r="M59" s="143"/>
      <c r="N59" s="207"/>
      <c r="O59" s="143"/>
      <c r="P59" s="144"/>
      <c r="Q59" s="207"/>
      <c r="R59" s="143"/>
      <c r="S59" s="189">
        <v>75000</v>
      </c>
      <c r="T59" s="189">
        <v>74250</v>
      </c>
      <c r="U59" s="191" t="s">
        <v>478</v>
      </c>
      <c r="V59" s="143"/>
    </row>
    <row r="60" spans="1:22" ht="25" customHeight="1" thickBot="1" x14ac:dyDescent="0.4">
      <c r="A60" s="215">
        <v>52630</v>
      </c>
      <c r="B60" s="216"/>
      <c r="C60" s="217"/>
      <c r="D60" s="218"/>
      <c r="E60" s="219"/>
      <c r="F60" s="219"/>
      <c r="G60" s="219"/>
      <c r="H60" s="219"/>
      <c r="I60" s="219"/>
      <c r="J60" s="219"/>
      <c r="K60" s="219"/>
      <c r="L60" s="219"/>
      <c r="M60" s="219"/>
      <c r="N60" s="220"/>
      <c r="O60" s="219"/>
      <c r="P60" s="221">
        <f>A60</f>
        <v>52630</v>
      </c>
      <c r="Q60" s="220"/>
      <c r="R60" s="219"/>
      <c r="S60" s="219"/>
      <c r="T60" s="219"/>
      <c r="U60" s="222"/>
      <c r="V60" s="219"/>
    </row>
    <row r="61" spans="1:22" ht="31.5" customHeight="1" x14ac:dyDescent="0.35">
      <c r="A61" s="213">
        <v>4425000</v>
      </c>
      <c r="B61" s="214" t="s">
        <v>34</v>
      </c>
      <c r="C61" s="199">
        <v>45279</v>
      </c>
      <c r="D61" s="200">
        <v>7</v>
      </c>
      <c r="E61" s="176">
        <v>1400000</v>
      </c>
      <c r="F61" s="176">
        <v>540666</v>
      </c>
      <c r="G61" s="176">
        <f>ROUND(E61-F61,)</f>
        <v>859334</v>
      </c>
      <c r="H61" s="176">
        <f>ROUND(G61*$H$5,0)</f>
        <v>154680</v>
      </c>
      <c r="I61" s="176">
        <f>G61+H61</f>
        <v>1014014</v>
      </c>
      <c r="J61" s="176">
        <f>G61*1%</f>
        <v>8593.34</v>
      </c>
      <c r="K61" s="176">
        <f>G61*5%</f>
        <v>42966.700000000004</v>
      </c>
      <c r="L61" s="176">
        <f>ROUND(G61*$L$12,)</f>
        <v>0</v>
      </c>
      <c r="M61" s="176">
        <f>ROUND(G61*$M$12,)</f>
        <v>0</v>
      </c>
      <c r="N61" s="224">
        <f>H61</f>
        <v>154680</v>
      </c>
      <c r="O61" s="176">
        <f>ROUND(I61-SUM(J61:N61),0)</f>
        <v>807774</v>
      </c>
      <c r="P61" s="214"/>
      <c r="Q61" s="153">
        <v>4425000</v>
      </c>
      <c r="R61" s="175">
        <f>Q61-SUM(S61:S70)</f>
        <v>-125000</v>
      </c>
      <c r="S61" s="176">
        <v>600000</v>
      </c>
      <c r="T61" s="176">
        <v>594000</v>
      </c>
      <c r="U61" s="231" t="s">
        <v>36</v>
      </c>
      <c r="V61" s="175">
        <f>SUM(O61:O70)-SUM(S61:S70)</f>
        <v>-1042143</v>
      </c>
    </row>
    <row r="62" spans="1:22" ht="35.25" customHeight="1" x14ac:dyDescent="0.35">
      <c r="A62" s="116"/>
      <c r="B62" s="131" t="s">
        <v>34</v>
      </c>
      <c r="C62" s="120">
        <v>45031</v>
      </c>
      <c r="D62" s="135">
        <v>5</v>
      </c>
      <c r="E62" s="121">
        <f>(4307222*40%)-E61</f>
        <v>322888.80000000005</v>
      </c>
      <c r="F62" s="121">
        <v>0</v>
      </c>
      <c r="G62" s="121">
        <f>ROUND(E62-F62,)</f>
        <v>322889</v>
      </c>
      <c r="H62" s="121">
        <f>ROUND(G62*$H$5,0)</f>
        <v>58120</v>
      </c>
      <c r="I62" s="121">
        <f>G62+H62</f>
        <v>381009</v>
      </c>
      <c r="J62" s="121">
        <f>G62*1%</f>
        <v>3228.89</v>
      </c>
      <c r="K62" s="121">
        <f>G62*5%</f>
        <v>16144.45</v>
      </c>
      <c r="L62" s="121">
        <f>ROUND(G62*$L$12,)</f>
        <v>0</v>
      </c>
      <c r="M62" s="121">
        <f>ROUND(G62*$M$12,)</f>
        <v>0</v>
      </c>
      <c r="N62" s="196">
        <f>H62</f>
        <v>58120</v>
      </c>
      <c r="O62" s="121">
        <f>ROUND(I62-SUM(J62:N62),0)</f>
        <v>303516</v>
      </c>
      <c r="P62" s="131"/>
      <c r="Q62" s="149"/>
      <c r="R62" s="119"/>
      <c r="S62" s="121">
        <v>500000</v>
      </c>
      <c r="T62" s="121">
        <v>495000</v>
      </c>
      <c r="U62" s="122" t="s">
        <v>38</v>
      </c>
      <c r="V62" s="119"/>
    </row>
    <row r="63" spans="1:22" ht="25" customHeight="1" x14ac:dyDescent="0.35">
      <c r="A63" s="116"/>
      <c r="B63" s="131" t="s">
        <v>140</v>
      </c>
      <c r="C63" s="120">
        <v>45000</v>
      </c>
      <c r="D63" s="135">
        <v>7</v>
      </c>
      <c r="E63" s="121">
        <v>154680</v>
      </c>
      <c r="F63" s="119"/>
      <c r="G63" s="119"/>
      <c r="H63" s="119"/>
      <c r="I63" s="119"/>
      <c r="J63" s="119"/>
      <c r="K63" s="119"/>
      <c r="L63" s="119"/>
      <c r="M63" s="119"/>
      <c r="N63" s="149"/>
      <c r="O63" s="198">
        <f>E63</f>
        <v>154680</v>
      </c>
      <c r="P63" s="131"/>
      <c r="Q63" s="149"/>
      <c r="R63" s="119"/>
      <c r="S63" s="121">
        <v>50000</v>
      </c>
      <c r="T63" s="121">
        <v>50000</v>
      </c>
      <c r="U63" s="122" t="s">
        <v>39</v>
      </c>
      <c r="V63" s="119"/>
    </row>
    <row r="64" spans="1:22" ht="39" customHeight="1" x14ac:dyDescent="0.35">
      <c r="A64" s="116"/>
      <c r="B64" s="131" t="s">
        <v>34</v>
      </c>
      <c r="C64" s="120">
        <v>45142</v>
      </c>
      <c r="D64" s="135" t="s">
        <v>238</v>
      </c>
      <c r="E64" s="121">
        <f>1770000-1182223</f>
        <v>587777</v>
      </c>
      <c r="F64" s="121">
        <v>540666</v>
      </c>
      <c r="G64" s="121">
        <f>ROUND(E64-F64,)</f>
        <v>47111</v>
      </c>
      <c r="H64" s="121">
        <f>ROUND(G64*$H$5,0)</f>
        <v>8480</v>
      </c>
      <c r="I64" s="121">
        <f>G64+H64</f>
        <v>55591</v>
      </c>
      <c r="J64" s="121">
        <f>G64*1%</f>
        <v>471.11</v>
      </c>
      <c r="K64" s="121">
        <f>G64*5%</f>
        <v>2355.5500000000002</v>
      </c>
      <c r="L64" s="121">
        <f>ROUND(G64*$L$12,)</f>
        <v>0</v>
      </c>
      <c r="M64" s="121"/>
      <c r="N64" s="196">
        <f>H64</f>
        <v>8480</v>
      </c>
      <c r="O64" s="121">
        <f>ROUND(I64-SUM(J64:N64),0)</f>
        <v>44284</v>
      </c>
      <c r="P64" s="131"/>
      <c r="Q64" s="149"/>
      <c r="R64" s="119"/>
      <c r="S64" s="121">
        <v>200000</v>
      </c>
      <c r="T64" s="121">
        <v>198000</v>
      </c>
      <c r="U64" s="122" t="s">
        <v>116</v>
      </c>
      <c r="V64" s="119"/>
    </row>
    <row r="65" spans="1:22" ht="39" customHeight="1" x14ac:dyDescent="0.35">
      <c r="A65" s="116"/>
      <c r="B65" s="131" t="s">
        <v>29</v>
      </c>
      <c r="C65" s="120">
        <v>45172</v>
      </c>
      <c r="D65" s="135">
        <v>5</v>
      </c>
      <c r="E65" s="121">
        <v>58120</v>
      </c>
      <c r="F65" s="119"/>
      <c r="G65" s="119"/>
      <c r="H65" s="119"/>
      <c r="I65" s="119"/>
      <c r="J65" s="119"/>
      <c r="K65" s="119"/>
      <c r="L65" s="119"/>
      <c r="M65" s="119"/>
      <c r="N65" s="149"/>
      <c r="O65" s="198">
        <f>E65</f>
        <v>58120</v>
      </c>
      <c r="P65" s="131"/>
      <c r="Q65" s="149"/>
      <c r="R65" s="119"/>
      <c r="S65" s="121">
        <v>500000</v>
      </c>
      <c r="T65" s="121">
        <v>495000</v>
      </c>
      <c r="U65" s="122" t="s">
        <v>289</v>
      </c>
      <c r="V65" s="119"/>
    </row>
    <row r="66" spans="1:22" ht="39" customHeight="1" x14ac:dyDescent="0.35">
      <c r="A66" s="116"/>
      <c r="B66" s="131" t="s">
        <v>29</v>
      </c>
      <c r="C66" s="120">
        <v>45255</v>
      </c>
      <c r="D66" s="135" t="s">
        <v>238</v>
      </c>
      <c r="E66" s="121">
        <v>8480</v>
      </c>
      <c r="F66" s="119"/>
      <c r="G66" s="119"/>
      <c r="H66" s="119"/>
      <c r="I66" s="119"/>
      <c r="J66" s="119"/>
      <c r="K66" s="119"/>
      <c r="L66" s="119">
        <f>ROUND(G66*$L$12,)</f>
        <v>0</v>
      </c>
      <c r="M66" s="119"/>
      <c r="N66" s="149"/>
      <c r="O66" s="198">
        <f>E66</f>
        <v>8480</v>
      </c>
      <c r="P66" s="131"/>
      <c r="Q66" s="149"/>
      <c r="R66" s="119"/>
      <c r="S66" s="121">
        <v>500000</v>
      </c>
      <c r="T66" s="121">
        <v>495000</v>
      </c>
      <c r="U66" s="122" t="s">
        <v>302</v>
      </c>
      <c r="V66" s="119"/>
    </row>
    <row r="67" spans="1:22" ht="39" customHeight="1" x14ac:dyDescent="0.35">
      <c r="A67" s="116"/>
      <c r="B67" s="131" t="s">
        <v>34</v>
      </c>
      <c r="C67" s="120">
        <v>45651</v>
      </c>
      <c r="D67" s="135">
        <v>118</v>
      </c>
      <c r="E67" s="121">
        <v>2124000</v>
      </c>
      <c r="F67" s="121">
        <v>221319</v>
      </c>
      <c r="G67" s="121">
        <f>ROUND(E67-F67,)</f>
        <v>1902681</v>
      </c>
      <c r="H67" s="121">
        <f>ROUND(G67*$H$5,0)</f>
        <v>342483</v>
      </c>
      <c r="I67" s="121">
        <f>G67+H67</f>
        <v>2245164</v>
      </c>
      <c r="J67" s="121">
        <f>G67*1%</f>
        <v>19026.810000000001</v>
      </c>
      <c r="K67" s="121">
        <f>G67*5%</f>
        <v>95134.05</v>
      </c>
      <c r="L67" s="121">
        <f>ROUND(G67*$L$12,)</f>
        <v>0</v>
      </c>
      <c r="M67" s="121"/>
      <c r="N67" s="196">
        <f>H67</f>
        <v>342483</v>
      </c>
      <c r="O67" s="121">
        <f>ROUND(I67-SUM(J67:N67),0)</f>
        <v>1788520</v>
      </c>
      <c r="P67" s="131"/>
      <c r="Q67" s="149"/>
      <c r="R67" s="119"/>
      <c r="S67" s="121">
        <v>500000</v>
      </c>
      <c r="T67" s="121">
        <v>495000</v>
      </c>
      <c r="U67" s="122" t="s">
        <v>348</v>
      </c>
      <c r="V67" s="119"/>
    </row>
    <row r="68" spans="1:22" ht="39" customHeight="1" x14ac:dyDescent="0.35">
      <c r="A68" s="116"/>
      <c r="B68" s="131" t="s">
        <v>140</v>
      </c>
      <c r="C68" s="120"/>
      <c r="D68" s="135">
        <v>118</v>
      </c>
      <c r="E68" s="121">
        <f>N67</f>
        <v>342483</v>
      </c>
      <c r="F68" s="119"/>
      <c r="G68" s="119"/>
      <c r="H68" s="119"/>
      <c r="I68" s="119"/>
      <c r="J68" s="119"/>
      <c r="K68" s="119"/>
      <c r="L68" s="119"/>
      <c r="M68" s="119"/>
      <c r="N68" s="149"/>
      <c r="O68" s="198">
        <f>E68</f>
        <v>342483</v>
      </c>
      <c r="P68" s="131"/>
      <c r="Q68" s="149"/>
      <c r="R68" s="119"/>
      <c r="S68" s="121">
        <v>500000</v>
      </c>
      <c r="T68" s="121">
        <v>495000</v>
      </c>
      <c r="U68" s="122" t="s">
        <v>358</v>
      </c>
      <c r="V68" s="119"/>
    </row>
    <row r="69" spans="1:22" ht="39" customHeight="1" x14ac:dyDescent="0.35">
      <c r="A69" s="116"/>
      <c r="B69" s="131"/>
      <c r="C69" s="114"/>
      <c r="D69" s="118"/>
      <c r="E69" s="119"/>
      <c r="F69" s="119"/>
      <c r="G69" s="119"/>
      <c r="H69" s="119"/>
      <c r="I69" s="119"/>
      <c r="J69" s="119"/>
      <c r="K69" s="119"/>
      <c r="L69" s="119"/>
      <c r="M69" s="119"/>
      <c r="N69" s="149"/>
      <c r="O69" s="149"/>
      <c r="P69" s="131"/>
      <c r="Q69" s="149"/>
      <c r="R69" s="119"/>
      <c r="S69" s="121">
        <v>700000</v>
      </c>
      <c r="T69" s="121">
        <v>693000</v>
      </c>
      <c r="U69" s="122" t="s">
        <v>362</v>
      </c>
      <c r="V69" s="119"/>
    </row>
    <row r="70" spans="1:22" ht="39" customHeight="1" thickBot="1" x14ac:dyDescent="0.4">
      <c r="A70" s="126"/>
      <c r="B70" s="144"/>
      <c r="C70" s="178"/>
      <c r="D70" s="142"/>
      <c r="E70" s="143"/>
      <c r="F70" s="143"/>
      <c r="G70" s="143"/>
      <c r="H70" s="143"/>
      <c r="I70" s="143"/>
      <c r="J70" s="143"/>
      <c r="K70" s="143"/>
      <c r="L70" s="143"/>
      <c r="M70" s="143"/>
      <c r="N70" s="207"/>
      <c r="O70" s="207"/>
      <c r="P70" s="144"/>
      <c r="Q70" s="207"/>
      <c r="R70" s="143"/>
      <c r="S70" s="189">
        <v>500000</v>
      </c>
      <c r="T70" s="189">
        <v>495000</v>
      </c>
      <c r="U70" s="191" t="s">
        <v>360</v>
      </c>
      <c r="V70" s="143"/>
    </row>
    <row r="71" spans="1:22" ht="25" customHeight="1" thickBot="1" x14ac:dyDescent="0.4">
      <c r="A71" s="215">
        <v>52631</v>
      </c>
      <c r="B71" s="216"/>
      <c r="C71" s="217"/>
      <c r="D71" s="218"/>
      <c r="E71" s="219"/>
      <c r="F71" s="219"/>
      <c r="G71" s="219"/>
      <c r="H71" s="219"/>
      <c r="I71" s="219"/>
      <c r="J71" s="219"/>
      <c r="K71" s="219"/>
      <c r="L71" s="219"/>
      <c r="M71" s="219"/>
      <c r="N71" s="219"/>
      <c r="O71" s="219"/>
      <c r="P71" s="221">
        <f>A71</f>
        <v>52631</v>
      </c>
      <c r="Q71" s="220"/>
      <c r="R71" s="219"/>
      <c r="S71" s="219"/>
      <c r="T71" s="219"/>
      <c r="U71" s="222"/>
      <c r="V71" s="219"/>
    </row>
    <row r="72" spans="1:22" ht="30.75" customHeight="1" x14ac:dyDescent="0.35">
      <c r="A72" s="213">
        <v>4251823</v>
      </c>
      <c r="B72" s="214" t="s">
        <v>40</v>
      </c>
      <c r="C72" s="199">
        <v>44904</v>
      </c>
      <c r="D72" s="200">
        <v>2</v>
      </c>
      <c r="E72" s="176">
        <f>3640000*20%</f>
        <v>728000</v>
      </c>
      <c r="F72" s="176">
        <v>255338.02</v>
      </c>
      <c r="G72" s="176">
        <f>ROUND(E72-F72,)</f>
        <v>472662</v>
      </c>
      <c r="H72" s="176">
        <f>ROUND(G72*$H$5,0)</f>
        <v>85079</v>
      </c>
      <c r="I72" s="176">
        <f>G72+H72</f>
        <v>557741</v>
      </c>
      <c r="J72" s="176">
        <f>G72*1%</f>
        <v>4726.62</v>
      </c>
      <c r="K72" s="176">
        <f>G72*5%</f>
        <v>23633.100000000002</v>
      </c>
      <c r="L72" s="176"/>
      <c r="M72" s="176">
        <v>47266.2</v>
      </c>
      <c r="N72" s="224">
        <f>H72</f>
        <v>85079</v>
      </c>
      <c r="O72" s="176">
        <f>ROUND(I72-SUM(J72:N72),0)</f>
        <v>397036</v>
      </c>
      <c r="P72" s="214"/>
      <c r="Q72" s="153">
        <v>4251823</v>
      </c>
      <c r="R72" s="175">
        <f>Q72-SUM(S72:S86)</f>
        <v>-620935</v>
      </c>
      <c r="S72" s="176">
        <v>300000</v>
      </c>
      <c r="T72" s="176">
        <v>297000</v>
      </c>
      <c r="U72" s="229" t="s">
        <v>42</v>
      </c>
      <c r="V72" s="175">
        <f>SUM(O72:O86)-SUM(S72:S86)</f>
        <v>-1635026</v>
      </c>
    </row>
    <row r="73" spans="1:22" ht="26.25" customHeight="1" x14ac:dyDescent="0.35">
      <c r="A73" s="116"/>
      <c r="B73" s="131" t="s">
        <v>40</v>
      </c>
      <c r="C73" s="120">
        <v>44955</v>
      </c>
      <c r="D73" s="135">
        <v>9</v>
      </c>
      <c r="E73" s="121">
        <f>3640000*20%</f>
        <v>728000</v>
      </c>
      <c r="F73" s="121">
        <v>221963.5</v>
      </c>
      <c r="G73" s="121">
        <f t="shared" ref="G73:G76" si="24">ROUND(E73-F73,)</f>
        <v>506037</v>
      </c>
      <c r="H73" s="121">
        <f>ROUND(G73*$H$5,0)</f>
        <v>91087</v>
      </c>
      <c r="I73" s="121">
        <f t="shared" ref="I73" si="25">G73+H73</f>
        <v>597124</v>
      </c>
      <c r="J73" s="121">
        <f>G73*1%</f>
        <v>5060.37</v>
      </c>
      <c r="K73" s="121">
        <f>G73*5%</f>
        <v>25301.850000000002</v>
      </c>
      <c r="L73" s="121">
        <f>ROUND(G73*$L$12,)</f>
        <v>0</v>
      </c>
      <c r="M73" s="121">
        <v>50603</v>
      </c>
      <c r="N73" s="196">
        <f t="shared" ref="N73:N76" si="26">H73</f>
        <v>91087</v>
      </c>
      <c r="O73" s="121">
        <f t="shared" ref="O73" si="27">ROUND(I73-SUM(J73:N73),0)</f>
        <v>425072</v>
      </c>
      <c r="P73" s="131"/>
      <c r="Q73" s="149"/>
      <c r="R73" s="119"/>
      <c r="S73" s="121">
        <v>300000</v>
      </c>
      <c r="T73" s="121">
        <v>297000</v>
      </c>
      <c r="U73" s="122" t="s">
        <v>44</v>
      </c>
      <c r="V73" s="119"/>
    </row>
    <row r="74" spans="1:22" ht="25" customHeight="1" x14ac:dyDescent="0.35">
      <c r="A74" s="116"/>
      <c r="B74" s="131" t="s">
        <v>29</v>
      </c>
      <c r="C74" s="120">
        <v>44972</v>
      </c>
      <c r="D74" s="135">
        <v>2</v>
      </c>
      <c r="E74" s="121">
        <f>H72</f>
        <v>85079</v>
      </c>
      <c r="F74" s="119"/>
      <c r="G74" s="119"/>
      <c r="H74" s="119"/>
      <c r="I74" s="119"/>
      <c r="J74" s="119"/>
      <c r="K74" s="119"/>
      <c r="L74" s="119"/>
      <c r="M74" s="119"/>
      <c r="N74" s="149"/>
      <c r="O74" s="198">
        <f>E74</f>
        <v>85079</v>
      </c>
      <c r="P74" s="131"/>
      <c r="Q74" s="149"/>
      <c r="R74" s="119"/>
      <c r="S74" s="121">
        <v>200000</v>
      </c>
      <c r="T74" s="121">
        <v>198000</v>
      </c>
      <c r="U74" s="122" t="s">
        <v>46</v>
      </c>
      <c r="V74" s="119"/>
    </row>
    <row r="75" spans="1:22" ht="25" customHeight="1" x14ac:dyDescent="0.35">
      <c r="A75" s="116"/>
      <c r="B75" s="131" t="s">
        <v>29</v>
      </c>
      <c r="C75" s="120">
        <v>45003</v>
      </c>
      <c r="D75" s="135">
        <v>9</v>
      </c>
      <c r="E75" s="121">
        <v>91086</v>
      </c>
      <c r="F75" s="119"/>
      <c r="G75" s="119"/>
      <c r="H75" s="119"/>
      <c r="I75" s="119"/>
      <c r="J75" s="119"/>
      <c r="K75" s="119"/>
      <c r="L75" s="119"/>
      <c r="M75" s="119"/>
      <c r="N75" s="149"/>
      <c r="O75" s="198">
        <f>E75</f>
        <v>91086</v>
      </c>
      <c r="P75" s="131"/>
      <c r="Q75" s="149"/>
      <c r="R75" s="119"/>
      <c r="S75" s="121">
        <v>30106</v>
      </c>
      <c r="T75" s="121">
        <v>30106</v>
      </c>
      <c r="U75" s="122" t="s">
        <v>48</v>
      </c>
      <c r="V75" s="119"/>
    </row>
    <row r="76" spans="1:22" ht="34.5" customHeight="1" x14ac:dyDescent="0.35">
      <c r="A76" s="116"/>
      <c r="B76" s="131" t="s">
        <v>40</v>
      </c>
      <c r="C76" s="120">
        <v>45031</v>
      </c>
      <c r="D76" s="135">
        <v>9</v>
      </c>
      <c r="E76" s="121">
        <f>(4251823*40%)-E72-E73</f>
        <v>244729.20000000019</v>
      </c>
      <c r="F76" s="121"/>
      <c r="G76" s="121">
        <f t="shared" si="24"/>
        <v>244729</v>
      </c>
      <c r="H76" s="121">
        <f>ROUND(G76*$H$5,0)</f>
        <v>44051</v>
      </c>
      <c r="I76" s="121">
        <f t="shared" ref="I76" si="28">G76+H76</f>
        <v>288780</v>
      </c>
      <c r="J76" s="121">
        <f>G76*1%</f>
        <v>2447.29</v>
      </c>
      <c r="K76" s="121">
        <f>G76*5%</f>
        <v>12236.45</v>
      </c>
      <c r="L76" s="121"/>
      <c r="M76" s="121">
        <v>24472.9</v>
      </c>
      <c r="N76" s="196">
        <f t="shared" si="26"/>
        <v>44051</v>
      </c>
      <c r="O76" s="121">
        <f t="shared" ref="O76" si="29">ROUND(I76-SUM(J76:N76),0)</f>
        <v>205572</v>
      </c>
      <c r="P76" s="131"/>
      <c r="Q76" s="149"/>
      <c r="R76" s="119"/>
      <c r="S76" s="121">
        <v>85079</v>
      </c>
      <c r="T76" s="121">
        <v>85079</v>
      </c>
      <c r="U76" s="122" t="s">
        <v>50</v>
      </c>
      <c r="V76" s="119"/>
    </row>
    <row r="77" spans="1:22" ht="25" customHeight="1" x14ac:dyDescent="0.35">
      <c r="A77" s="116"/>
      <c r="B77" s="131" t="s">
        <v>29</v>
      </c>
      <c r="C77" s="120">
        <v>45172</v>
      </c>
      <c r="D77" s="135">
        <v>9</v>
      </c>
      <c r="E77" s="121">
        <v>44051</v>
      </c>
      <c r="F77" s="119"/>
      <c r="G77" s="119"/>
      <c r="H77" s="119"/>
      <c r="I77" s="119"/>
      <c r="J77" s="119"/>
      <c r="K77" s="119"/>
      <c r="L77" s="119"/>
      <c r="M77" s="119"/>
      <c r="N77" s="149"/>
      <c r="O77" s="198">
        <v>44051</v>
      </c>
      <c r="P77" s="131"/>
      <c r="Q77" s="149"/>
      <c r="R77" s="119"/>
      <c r="S77" s="121">
        <v>200000</v>
      </c>
      <c r="T77" s="121">
        <v>198000</v>
      </c>
      <c r="U77" s="122" t="s">
        <v>415</v>
      </c>
      <c r="V77" s="119"/>
    </row>
    <row r="78" spans="1:22" ht="25" customHeight="1" x14ac:dyDescent="0.35">
      <c r="A78" s="116"/>
      <c r="B78" s="131" t="s">
        <v>40</v>
      </c>
      <c r="C78" s="120">
        <v>45658</v>
      </c>
      <c r="D78" s="135">
        <v>119</v>
      </c>
      <c r="E78" s="121">
        <v>2032800</v>
      </c>
      <c r="F78" s="121">
        <v>256161</v>
      </c>
      <c r="G78" s="121">
        <f>ROUND(E78-F78,)</f>
        <v>1776639</v>
      </c>
      <c r="H78" s="121">
        <f>ROUND(G78*$H$5,0)</f>
        <v>319795</v>
      </c>
      <c r="I78" s="121">
        <f>G78+H78</f>
        <v>2096434</v>
      </c>
      <c r="J78" s="121">
        <f t="shared" ref="J78" si="30">G78*1%</f>
        <v>17766.39</v>
      </c>
      <c r="K78" s="121">
        <f t="shared" ref="K78" si="31">G78*5%</f>
        <v>88831.950000000012</v>
      </c>
      <c r="L78" s="121">
        <f>ROUND(G78*$L$12,)</f>
        <v>0</v>
      </c>
      <c r="M78" s="121">
        <v>0</v>
      </c>
      <c r="N78" s="196">
        <f>H78</f>
        <v>319795</v>
      </c>
      <c r="O78" s="121">
        <f>ROUND(I78-SUM(J78:N78),0)</f>
        <v>1670041</v>
      </c>
      <c r="P78" s="131"/>
      <c r="Q78" s="149"/>
      <c r="R78" s="119"/>
      <c r="S78" s="121">
        <v>7573</v>
      </c>
      <c r="T78" s="121">
        <v>7573</v>
      </c>
      <c r="U78" s="122" t="s">
        <v>53</v>
      </c>
      <c r="V78" s="119"/>
    </row>
    <row r="79" spans="1:22" ht="25" customHeight="1" x14ac:dyDescent="0.35">
      <c r="A79" s="116"/>
      <c r="B79" s="131" t="s">
        <v>29</v>
      </c>
      <c r="C79" s="120">
        <v>45810</v>
      </c>
      <c r="D79" s="135">
        <v>119</v>
      </c>
      <c r="E79" s="121">
        <f>N78</f>
        <v>319795</v>
      </c>
      <c r="F79" s="119"/>
      <c r="G79" s="119"/>
      <c r="H79" s="119"/>
      <c r="I79" s="119"/>
      <c r="J79" s="119"/>
      <c r="K79" s="119"/>
      <c r="L79" s="119"/>
      <c r="M79" s="119"/>
      <c r="N79" s="149"/>
      <c r="O79" s="198">
        <f>E79</f>
        <v>319795</v>
      </c>
      <c r="P79" s="131"/>
      <c r="Q79" s="149"/>
      <c r="R79" s="119"/>
      <c r="S79" s="121">
        <v>150000</v>
      </c>
      <c r="T79" s="121">
        <v>148500</v>
      </c>
      <c r="U79" s="122" t="s">
        <v>55</v>
      </c>
      <c r="V79" s="119"/>
    </row>
    <row r="80" spans="1:22" ht="25" customHeight="1" x14ac:dyDescent="0.35">
      <c r="A80" s="116"/>
      <c r="B80" s="131"/>
      <c r="C80" s="114"/>
      <c r="D80" s="118"/>
      <c r="E80" s="119"/>
      <c r="F80" s="119"/>
      <c r="G80" s="119"/>
      <c r="H80" s="119"/>
      <c r="I80" s="119"/>
      <c r="J80" s="119"/>
      <c r="K80" s="119"/>
      <c r="L80" s="119"/>
      <c r="M80" s="119"/>
      <c r="N80" s="149"/>
      <c r="O80" s="119"/>
      <c r="P80" s="131"/>
      <c r="Q80" s="154"/>
      <c r="R80" s="97"/>
      <c r="S80" s="121">
        <v>500000</v>
      </c>
      <c r="T80" s="121">
        <v>495000</v>
      </c>
      <c r="U80" s="122" t="s">
        <v>286</v>
      </c>
      <c r="V80" s="119"/>
    </row>
    <row r="81" spans="1:22" ht="25" customHeight="1" x14ac:dyDescent="0.35">
      <c r="A81" s="116"/>
      <c r="B81" s="131"/>
      <c r="C81" s="114"/>
      <c r="D81" s="118"/>
      <c r="E81" s="119"/>
      <c r="F81" s="119"/>
      <c r="G81" s="119"/>
      <c r="H81" s="119"/>
      <c r="I81" s="119"/>
      <c r="J81" s="119"/>
      <c r="K81" s="119"/>
      <c r="L81" s="119"/>
      <c r="M81" s="119"/>
      <c r="N81" s="149"/>
      <c r="O81" s="119"/>
      <c r="P81" s="131"/>
      <c r="Q81" s="154"/>
      <c r="R81" s="97"/>
      <c r="S81" s="121">
        <v>1000000</v>
      </c>
      <c r="T81" s="121">
        <v>990000</v>
      </c>
      <c r="U81" s="123" t="s">
        <v>293</v>
      </c>
      <c r="V81" s="119"/>
    </row>
    <row r="82" spans="1:22" ht="25" customHeight="1" x14ac:dyDescent="0.35">
      <c r="A82" s="116"/>
      <c r="B82" s="131"/>
      <c r="C82" s="114"/>
      <c r="D82" s="118"/>
      <c r="E82" s="119"/>
      <c r="F82" s="119"/>
      <c r="G82" s="119"/>
      <c r="H82" s="119"/>
      <c r="I82" s="119"/>
      <c r="J82" s="119"/>
      <c r="K82" s="119"/>
      <c r="L82" s="119"/>
      <c r="M82" s="119"/>
      <c r="N82" s="149"/>
      <c r="O82" s="119"/>
      <c r="P82" s="131"/>
      <c r="Q82" s="154"/>
      <c r="R82" s="97"/>
      <c r="S82" s="121">
        <v>500000</v>
      </c>
      <c r="T82" s="121">
        <v>495000</v>
      </c>
      <c r="U82" s="123" t="s">
        <v>303</v>
      </c>
      <c r="V82" s="119"/>
    </row>
    <row r="83" spans="1:22" ht="25" customHeight="1" x14ac:dyDescent="0.35">
      <c r="A83" s="116"/>
      <c r="B83" s="131"/>
      <c r="C83" s="114"/>
      <c r="D83" s="118"/>
      <c r="E83" s="119"/>
      <c r="F83" s="119"/>
      <c r="G83" s="119"/>
      <c r="H83" s="119"/>
      <c r="I83" s="119"/>
      <c r="J83" s="119"/>
      <c r="K83" s="119"/>
      <c r="L83" s="119"/>
      <c r="M83" s="119"/>
      <c r="N83" s="149"/>
      <c r="O83" s="119"/>
      <c r="P83" s="131"/>
      <c r="Q83" s="154"/>
      <c r="R83" s="97"/>
      <c r="S83" s="121">
        <v>300000</v>
      </c>
      <c r="T83" s="121">
        <v>297000</v>
      </c>
      <c r="U83" s="123" t="s">
        <v>329</v>
      </c>
      <c r="V83" s="119"/>
    </row>
    <row r="84" spans="1:22" ht="25" customHeight="1" x14ac:dyDescent="0.35">
      <c r="A84" s="116"/>
      <c r="B84" s="117"/>
      <c r="C84" s="114"/>
      <c r="D84" s="118"/>
      <c r="E84" s="119"/>
      <c r="F84" s="119"/>
      <c r="G84" s="119"/>
      <c r="H84" s="119"/>
      <c r="I84" s="119"/>
      <c r="J84" s="119"/>
      <c r="K84" s="119"/>
      <c r="L84" s="119"/>
      <c r="M84" s="119"/>
      <c r="N84" s="149"/>
      <c r="O84" s="119"/>
      <c r="P84" s="131"/>
      <c r="Q84" s="154"/>
      <c r="R84" s="97"/>
      <c r="S84" s="121">
        <v>500000</v>
      </c>
      <c r="T84" s="121">
        <v>495000</v>
      </c>
      <c r="U84" s="123" t="s">
        <v>364</v>
      </c>
      <c r="V84" s="119"/>
    </row>
    <row r="85" spans="1:22" ht="25" customHeight="1" x14ac:dyDescent="0.35">
      <c r="A85" s="116"/>
      <c r="B85" s="117"/>
      <c r="C85" s="114"/>
      <c r="D85" s="118"/>
      <c r="E85" s="119"/>
      <c r="F85" s="119"/>
      <c r="G85" s="119"/>
      <c r="H85" s="119"/>
      <c r="I85" s="119"/>
      <c r="J85" s="119"/>
      <c r="K85" s="119"/>
      <c r="L85" s="119"/>
      <c r="M85" s="119"/>
      <c r="N85" s="149"/>
      <c r="O85" s="119"/>
      <c r="P85" s="131"/>
      <c r="Q85" s="154"/>
      <c r="R85" s="97"/>
      <c r="S85" s="121">
        <v>300000</v>
      </c>
      <c r="T85" s="121">
        <v>297000</v>
      </c>
      <c r="U85" s="123" t="s">
        <v>363</v>
      </c>
      <c r="V85" s="119"/>
    </row>
    <row r="86" spans="1:22" ht="25" customHeight="1" thickBot="1" x14ac:dyDescent="0.4">
      <c r="A86" s="126"/>
      <c r="B86" s="141"/>
      <c r="C86" s="178"/>
      <c r="D86" s="142"/>
      <c r="E86" s="143"/>
      <c r="F86" s="143"/>
      <c r="G86" s="143"/>
      <c r="H86" s="143"/>
      <c r="I86" s="143"/>
      <c r="J86" s="143"/>
      <c r="K86" s="143"/>
      <c r="L86" s="143"/>
      <c r="M86" s="143"/>
      <c r="N86" s="207"/>
      <c r="O86" s="143"/>
      <c r="P86" s="144"/>
      <c r="Q86" s="233"/>
      <c r="R86" s="234"/>
      <c r="S86" s="189">
        <v>500000</v>
      </c>
      <c r="T86" s="189">
        <v>495000</v>
      </c>
      <c r="U86" s="190" t="s">
        <v>371</v>
      </c>
      <c r="V86" s="143"/>
    </row>
    <row r="87" spans="1:22" ht="25" customHeight="1" thickBot="1" x14ac:dyDescent="0.4">
      <c r="A87" s="215">
        <v>52793</v>
      </c>
      <c r="B87" s="216"/>
      <c r="C87" s="217"/>
      <c r="D87" s="218"/>
      <c r="E87" s="219"/>
      <c r="F87" s="219"/>
      <c r="G87" s="219"/>
      <c r="H87" s="219"/>
      <c r="I87" s="219"/>
      <c r="J87" s="219"/>
      <c r="K87" s="219"/>
      <c r="L87" s="219"/>
      <c r="M87" s="219"/>
      <c r="N87" s="220"/>
      <c r="O87" s="219"/>
      <c r="P87" s="221">
        <f>A87</f>
        <v>52793</v>
      </c>
      <c r="Q87" s="220"/>
      <c r="R87" s="219"/>
      <c r="S87" s="219"/>
      <c r="T87" s="219"/>
      <c r="U87" s="222"/>
      <c r="V87" s="219"/>
    </row>
    <row r="88" spans="1:22" ht="25" customHeight="1" x14ac:dyDescent="0.35">
      <c r="A88" s="213">
        <v>3960000</v>
      </c>
      <c r="B88" s="214" t="s">
        <v>56</v>
      </c>
      <c r="C88" s="199">
        <v>44914</v>
      </c>
      <c r="D88" s="200">
        <v>5</v>
      </c>
      <c r="E88" s="176">
        <f>3300000*20%</f>
        <v>660000</v>
      </c>
      <c r="F88" s="176">
        <v>197847</v>
      </c>
      <c r="G88" s="176">
        <f>ROUND(E88-F88,)</f>
        <v>462153</v>
      </c>
      <c r="H88" s="176">
        <f>ROUND(G88*$H$5,0)</f>
        <v>83188</v>
      </c>
      <c r="I88" s="176">
        <f>G88+H88</f>
        <v>545341</v>
      </c>
      <c r="J88" s="176">
        <f t="shared" ref="J88" si="32">G88*1%</f>
        <v>4621.53</v>
      </c>
      <c r="K88" s="176">
        <f t="shared" ref="K88" si="33">G88*5%</f>
        <v>23107.65</v>
      </c>
      <c r="L88" s="176">
        <f>ROUND(G88*$L$12,)</f>
        <v>0</v>
      </c>
      <c r="M88" s="176">
        <f>ROUND(G88*$M$12,)</f>
        <v>0</v>
      </c>
      <c r="N88" s="224">
        <f>H88</f>
        <v>83188</v>
      </c>
      <c r="O88" s="176">
        <f>ROUND(I88-SUM(J88:N88),0)</f>
        <v>434424</v>
      </c>
      <c r="P88" s="214"/>
      <c r="Q88" s="153">
        <v>3960000</v>
      </c>
      <c r="R88" s="175">
        <f>Q88-SUM(S88:S97)</f>
        <v>-140000</v>
      </c>
      <c r="S88" s="176">
        <v>500000</v>
      </c>
      <c r="T88" s="176">
        <v>495000</v>
      </c>
      <c r="U88" s="229" t="s">
        <v>59</v>
      </c>
      <c r="V88" s="175">
        <f>SUM(O88:O97)-SUM(S88:S97)</f>
        <v>-2547508</v>
      </c>
    </row>
    <row r="89" spans="1:22" ht="25" customHeight="1" x14ac:dyDescent="0.35">
      <c r="A89" s="116"/>
      <c r="B89" s="131" t="s">
        <v>29</v>
      </c>
      <c r="C89" s="120">
        <v>44958</v>
      </c>
      <c r="D89" s="135">
        <v>5</v>
      </c>
      <c r="E89" s="121">
        <f>H88</f>
        <v>83188</v>
      </c>
      <c r="F89" s="119"/>
      <c r="G89" s="119"/>
      <c r="H89" s="119"/>
      <c r="I89" s="119"/>
      <c r="J89" s="119"/>
      <c r="K89" s="119"/>
      <c r="L89" s="119"/>
      <c r="M89" s="119"/>
      <c r="N89" s="149"/>
      <c r="O89" s="198">
        <f>E89</f>
        <v>83188</v>
      </c>
      <c r="P89" s="131"/>
      <c r="Q89" s="149"/>
      <c r="R89" s="119"/>
      <c r="S89" s="121">
        <v>150000</v>
      </c>
      <c r="T89" s="121">
        <v>148500</v>
      </c>
      <c r="U89" s="122" t="s">
        <v>61</v>
      </c>
      <c r="V89" s="119"/>
    </row>
    <row r="90" spans="1:22" ht="25" customHeight="1" x14ac:dyDescent="0.35">
      <c r="A90" s="116"/>
      <c r="B90" s="131" t="s">
        <v>56</v>
      </c>
      <c r="C90" s="120">
        <v>45031</v>
      </c>
      <c r="D90" s="135">
        <v>6</v>
      </c>
      <c r="E90" s="121">
        <f>3765301*20%-E88</f>
        <v>93060.20000000007</v>
      </c>
      <c r="F90" s="121"/>
      <c r="G90" s="121">
        <f>ROUND(E90-F90,)</f>
        <v>93060</v>
      </c>
      <c r="H90" s="121">
        <f>ROUND(G90*$H$5,0)</f>
        <v>16751</v>
      </c>
      <c r="I90" s="121">
        <f>G90+H90</f>
        <v>109811</v>
      </c>
      <c r="J90" s="121">
        <f t="shared" ref="J90" si="34">G90*1%</f>
        <v>930.6</v>
      </c>
      <c r="K90" s="121">
        <f t="shared" ref="K90" si="35">G90*5%</f>
        <v>4653</v>
      </c>
      <c r="L90" s="121">
        <f>ROUND(G90*$L$12,)</f>
        <v>0</v>
      </c>
      <c r="M90" s="121">
        <f>ROUND(G90*$M$12,)</f>
        <v>0</v>
      </c>
      <c r="N90" s="196">
        <f>H90</f>
        <v>16751</v>
      </c>
      <c r="O90" s="121">
        <f>ROUND(I90-SUM(J90:N90),0)</f>
        <v>87476</v>
      </c>
      <c r="P90" s="131"/>
      <c r="Q90" s="149"/>
      <c r="R90" s="119"/>
      <c r="S90" s="121">
        <v>250000</v>
      </c>
      <c r="T90" s="121">
        <v>247500</v>
      </c>
      <c r="U90" s="121" t="s">
        <v>114</v>
      </c>
      <c r="V90" s="119"/>
    </row>
    <row r="91" spans="1:22" ht="25" customHeight="1" x14ac:dyDescent="0.35">
      <c r="A91" s="116"/>
      <c r="B91" s="131" t="s">
        <v>29</v>
      </c>
      <c r="C91" s="120">
        <v>45172</v>
      </c>
      <c r="D91" s="135">
        <v>6</v>
      </c>
      <c r="E91" s="121">
        <v>16751</v>
      </c>
      <c r="F91" s="119"/>
      <c r="G91" s="119"/>
      <c r="H91" s="119"/>
      <c r="I91" s="119"/>
      <c r="J91" s="119"/>
      <c r="K91" s="119"/>
      <c r="L91" s="119"/>
      <c r="M91" s="119"/>
      <c r="N91" s="149"/>
      <c r="O91" s="198">
        <v>16751</v>
      </c>
      <c r="P91" s="131"/>
      <c r="Q91" s="149"/>
      <c r="R91" s="119"/>
      <c r="S91" s="121">
        <v>200000</v>
      </c>
      <c r="T91" s="121">
        <v>198000</v>
      </c>
      <c r="U91" s="121" t="s">
        <v>120</v>
      </c>
      <c r="V91" s="119"/>
    </row>
    <row r="92" spans="1:22" ht="25" customHeight="1" x14ac:dyDescent="0.35">
      <c r="A92" s="116"/>
      <c r="B92" s="131" t="s">
        <v>56</v>
      </c>
      <c r="C92" s="120">
        <v>45142</v>
      </c>
      <c r="D92" s="225">
        <v>53201</v>
      </c>
      <c r="E92" s="121">
        <f>792000-555213.2</f>
        <v>236786.80000000005</v>
      </c>
      <c r="F92" s="121">
        <v>197847</v>
      </c>
      <c r="G92" s="121">
        <f>ROUND(E92-F92,)</f>
        <v>38940</v>
      </c>
      <c r="H92" s="121">
        <f>ROUND(G92*$H$5,0)</f>
        <v>7009</v>
      </c>
      <c r="I92" s="121">
        <f>G92+H92</f>
        <v>45949</v>
      </c>
      <c r="J92" s="121">
        <f t="shared" ref="J92" si="36">G92*1%</f>
        <v>389.40000000000003</v>
      </c>
      <c r="K92" s="121">
        <f t="shared" ref="K92" si="37">G92*5%</f>
        <v>1947</v>
      </c>
      <c r="L92" s="121">
        <f>ROUND(G92*$L$12,)</f>
        <v>0</v>
      </c>
      <c r="M92" s="121">
        <f>ROUND(G92*$M$12,)</f>
        <v>0</v>
      </c>
      <c r="N92" s="196">
        <f>H92</f>
        <v>7009</v>
      </c>
      <c r="O92" s="121">
        <f>ROUND(I92-SUM(J92:N92),0)</f>
        <v>36604</v>
      </c>
      <c r="P92" s="131"/>
      <c r="Q92" s="149"/>
      <c r="R92" s="119"/>
      <c r="S92" s="121">
        <v>500000</v>
      </c>
      <c r="T92" s="121">
        <v>495000</v>
      </c>
      <c r="U92" s="121" t="s">
        <v>141</v>
      </c>
      <c r="V92" s="119"/>
    </row>
    <row r="93" spans="1:22" ht="25" customHeight="1" x14ac:dyDescent="0.35">
      <c r="A93" s="116"/>
      <c r="B93" s="131" t="s">
        <v>29</v>
      </c>
      <c r="C93" s="120">
        <v>45260</v>
      </c>
      <c r="D93" s="135" t="s">
        <v>239</v>
      </c>
      <c r="E93" s="121">
        <f>N92</f>
        <v>7009</v>
      </c>
      <c r="F93" s="119"/>
      <c r="G93" s="119"/>
      <c r="H93" s="119"/>
      <c r="I93" s="119"/>
      <c r="J93" s="119"/>
      <c r="K93" s="119"/>
      <c r="L93" s="119"/>
      <c r="M93" s="119"/>
      <c r="N93" s="149"/>
      <c r="O93" s="198">
        <f>E93</f>
        <v>7009</v>
      </c>
      <c r="P93" s="131"/>
      <c r="Q93" s="154"/>
      <c r="R93" s="97"/>
      <c r="S93" s="121">
        <v>1000000</v>
      </c>
      <c r="T93" s="121">
        <v>990000</v>
      </c>
      <c r="U93" s="122" t="s">
        <v>287</v>
      </c>
      <c r="V93" s="119"/>
    </row>
    <row r="94" spans="1:22" ht="25" customHeight="1" x14ac:dyDescent="0.35">
      <c r="A94" s="116"/>
      <c r="B94" s="131" t="s">
        <v>56</v>
      </c>
      <c r="C94" s="120">
        <v>45648</v>
      </c>
      <c r="D94" s="225">
        <v>115</v>
      </c>
      <c r="E94" s="121">
        <v>792000</v>
      </c>
      <c r="F94" s="121">
        <v>0</v>
      </c>
      <c r="G94" s="121">
        <f>ROUND(E94-F94,)</f>
        <v>792000</v>
      </c>
      <c r="H94" s="121">
        <f>ROUND(G94*$H$5,0)</f>
        <v>142560</v>
      </c>
      <c r="I94" s="121">
        <f>G94+H94</f>
        <v>934560</v>
      </c>
      <c r="J94" s="121">
        <f t="shared" ref="J94" si="38">G94*1%</f>
        <v>7920</v>
      </c>
      <c r="K94" s="121">
        <f t="shared" ref="K94" si="39">G94*5%</f>
        <v>39600</v>
      </c>
      <c r="L94" s="121">
        <f>ROUND(G94*$L$12,)</f>
        <v>0</v>
      </c>
      <c r="M94" s="121">
        <v>0</v>
      </c>
      <c r="N94" s="196">
        <f>H94</f>
        <v>142560</v>
      </c>
      <c r="O94" s="121">
        <f>ROUND(I94-SUM(J94:N94),0)</f>
        <v>744480</v>
      </c>
      <c r="P94" s="131"/>
      <c r="Q94" s="154"/>
      <c r="R94" s="97"/>
      <c r="S94" s="121">
        <v>500000</v>
      </c>
      <c r="T94" s="121">
        <v>495000</v>
      </c>
      <c r="U94" s="122" t="s">
        <v>298</v>
      </c>
      <c r="V94" s="119"/>
    </row>
    <row r="95" spans="1:22" ht="25" customHeight="1" x14ac:dyDescent="0.35">
      <c r="A95" s="116"/>
      <c r="B95" s="131" t="s">
        <v>243</v>
      </c>
      <c r="C95" s="120"/>
      <c r="D95" s="135">
        <v>115</v>
      </c>
      <c r="E95" s="121">
        <f>N94</f>
        <v>142560</v>
      </c>
      <c r="F95" s="119"/>
      <c r="G95" s="119"/>
      <c r="H95" s="119"/>
      <c r="I95" s="119"/>
      <c r="J95" s="119"/>
      <c r="K95" s="119"/>
      <c r="L95" s="119"/>
      <c r="M95" s="119"/>
      <c r="N95" s="149"/>
      <c r="O95" s="198">
        <f>E95</f>
        <v>142560</v>
      </c>
      <c r="P95" s="131"/>
      <c r="Q95" s="154"/>
      <c r="R95" s="97"/>
      <c r="S95" s="121">
        <v>400000</v>
      </c>
      <c r="T95" s="121">
        <v>396000</v>
      </c>
      <c r="U95" s="122" t="s">
        <v>353</v>
      </c>
      <c r="V95" s="119"/>
    </row>
    <row r="96" spans="1:22" ht="25" customHeight="1" x14ac:dyDescent="0.35">
      <c r="A96" s="116"/>
      <c r="B96" s="125"/>
      <c r="C96" s="114"/>
      <c r="D96" s="118"/>
      <c r="E96" s="119"/>
      <c r="F96" s="119"/>
      <c r="G96" s="119"/>
      <c r="H96" s="119"/>
      <c r="I96" s="119"/>
      <c r="J96" s="119"/>
      <c r="K96" s="119"/>
      <c r="L96" s="119"/>
      <c r="M96" s="119"/>
      <c r="N96" s="149"/>
      <c r="O96" s="119"/>
      <c r="P96" s="131"/>
      <c r="Q96" s="154"/>
      <c r="R96" s="97"/>
      <c r="S96" s="121">
        <v>400000</v>
      </c>
      <c r="T96" s="121">
        <v>396000</v>
      </c>
      <c r="U96" s="122" t="s">
        <v>355</v>
      </c>
      <c r="V96" s="119"/>
    </row>
    <row r="97" spans="1:22" ht="25" customHeight="1" thickBot="1" x14ac:dyDescent="0.4">
      <c r="A97" s="126"/>
      <c r="B97" s="235"/>
      <c r="C97" s="178"/>
      <c r="D97" s="142"/>
      <c r="E97" s="143"/>
      <c r="F97" s="143"/>
      <c r="G97" s="143"/>
      <c r="H97" s="143"/>
      <c r="I97" s="143"/>
      <c r="J97" s="143"/>
      <c r="K97" s="143"/>
      <c r="L97" s="143"/>
      <c r="M97" s="143"/>
      <c r="N97" s="207"/>
      <c r="O97" s="143"/>
      <c r="P97" s="144"/>
      <c r="Q97" s="233"/>
      <c r="R97" s="234"/>
      <c r="S97" s="189">
        <v>200000</v>
      </c>
      <c r="T97" s="189">
        <v>198000</v>
      </c>
      <c r="U97" s="191" t="s">
        <v>365</v>
      </c>
      <c r="V97" s="143"/>
    </row>
    <row r="98" spans="1:22" ht="25" customHeight="1" thickBot="1" x14ac:dyDescent="0.4">
      <c r="A98" s="215">
        <v>52794</v>
      </c>
      <c r="B98" s="216"/>
      <c r="C98" s="217"/>
      <c r="D98" s="218"/>
      <c r="E98" s="219"/>
      <c r="F98" s="219"/>
      <c r="G98" s="219"/>
      <c r="H98" s="219"/>
      <c r="I98" s="219"/>
      <c r="J98" s="219"/>
      <c r="K98" s="219"/>
      <c r="L98" s="219"/>
      <c r="M98" s="219"/>
      <c r="N98" s="220"/>
      <c r="O98" s="219"/>
      <c r="P98" s="221">
        <f>A98</f>
        <v>52794</v>
      </c>
      <c r="Q98" s="220"/>
      <c r="R98" s="219"/>
      <c r="S98" s="219"/>
      <c r="T98" s="219"/>
      <c r="U98" s="222"/>
      <c r="V98" s="219"/>
    </row>
    <row r="99" spans="1:22" ht="25" customHeight="1" x14ac:dyDescent="0.35">
      <c r="A99" s="213">
        <v>4840000</v>
      </c>
      <c r="B99" s="172" t="s">
        <v>185</v>
      </c>
      <c r="C99" s="199">
        <v>45268</v>
      </c>
      <c r="D99" s="200">
        <v>1</v>
      </c>
      <c r="E99" s="176">
        <f>4080000*20%</f>
        <v>816000</v>
      </c>
      <c r="F99" s="176">
        <f>213984+87745</f>
        <v>301729</v>
      </c>
      <c r="G99" s="176">
        <f>ROUND(E99-F99,)</f>
        <v>514271</v>
      </c>
      <c r="H99" s="176">
        <f>ROUND(G99*$H$5,0)</f>
        <v>92569</v>
      </c>
      <c r="I99" s="176">
        <f>G99+H99</f>
        <v>606840</v>
      </c>
      <c r="J99" s="176">
        <f t="shared" ref="J99" si="40">G99*1%</f>
        <v>5142.71</v>
      </c>
      <c r="K99" s="176">
        <f t="shared" ref="K99" si="41">G99*5%</f>
        <v>25713.550000000003</v>
      </c>
      <c r="L99" s="176">
        <f>ROUND(G99*$L$12,)</f>
        <v>0</v>
      </c>
      <c r="M99" s="176">
        <f>ROUND(G99*$M$12,)</f>
        <v>0</v>
      </c>
      <c r="N99" s="224">
        <f>H99</f>
        <v>92569</v>
      </c>
      <c r="O99" s="176">
        <f>ROUND(I99-SUM(J99:N99),0)</f>
        <v>483415</v>
      </c>
      <c r="P99" s="214"/>
      <c r="Q99" s="153">
        <v>4840000</v>
      </c>
      <c r="R99" s="175">
        <f>Q99-SUM(S99:S111)</f>
        <v>-89556</v>
      </c>
      <c r="S99" s="176">
        <v>500000</v>
      </c>
      <c r="T99" s="176">
        <f>S99-1%*S99</f>
        <v>495000</v>
      </c>
      <c r="U99" s="226" t="s">
        <v>65</v>
      </c>
      <c r="V99" s="175">
        <f>SUM(O99:O111)-SUM(S99:S111)</f>
        <v>-3099171.2199999997</v>
      </c>
    </row>
    <row r="100" spans="1:22" ht="25" customHeight="1" x14ac:dyDescent="0.35">
      <c r="A100" s="116"/>
      <c r="B100" s="117" t="s">
        <v>63</v>
      </c>
      <c r="C100" s="120">
        <v>44958</v>
      </c>
      <c r="D100" s="135">
        <v>1</v>
      </c>
      <c r="E100" s="121">
        <v>92568.78</v>
      </c>
      <c r="F100" s="119"/>
      <c r="G100" s="119"/>
      <c r="H100" s="119"/>
      <c r="I100" s="119"/>
      <c r="J100" s="119"/>
      <c r="K100" s="119"/>
      <c r="L100" s="119"/>
      <c r="M100" s="119"/>
      <c r="N100" s="149"/>
      <c r="O100" s="121">
        <f>E100</f>
        <v>92568.78</v>
      </c>
      <c r="P100" s="131"/>
      <c r="Q100" s="149"/>
      <c r="R100" s="119"/>
      <c r="S100" s="121">
        <v>29556</v>
      </c>
      <c r="T100" s="121">
        <v>29556</v>
      </c>
      <c r="U100" s="122" t="s">
        <v>67</v>
      </c>
      <c r="V100" s="119"/>
    </row>
    <row r="101" spans="1:22" ht="25" customHeight="1" x14ac:dyDescent="0.35">
      <c r="A101" s="116"/>
      <c r="B101" s="117" t="s">
        <v>185</v>
      </c>
      <c r="C101" s="120">
        <v>45031</v>
      </c>
      <c r="D101" s="135">
        <v>10</v>
      </c>
      <c r="E101" s="121">
        <f>(4643324*20%)-E99</f>
        <v>112664.80000000005</v>
      </c>
      <c r="F101" s="121"/>
      <c r="G101" s="121">
        <f>ROUND(E101-F101,)</f>
        <v>112665</v>
      </c>
      <c r="H101" s="121">
        <f>ROUND(G101*$H$5,0)</f>
        <v>20280</v>
      </c>
      <c r="I101" s="121">
        <f>G101+H101</f>
        <v>132945</v>
      </c>
      <c r="J101" s="121">
        <f t="shared" ref="J101:J102" si="42">G101*1%</f>
        <v>1126.6500000000001</v>
      </c>
      <c r="K101" s="121">
        <f t="shared" ref="K101:K102" si="43">G101*5%</f>
        <v>5633.25</v>
      </c>
      <c r="L101" s="121">
        <f>ROUND(G101*$L$12,)</f>
        <v>0</v>
      </c>
      <c r="M101" s="121">
        <f>ROUND(G101*$M$12,)</f>
        <v>0</v>
      </c>
      <c r="N101" s="196">
        <f>H101</f>
        <v>20280</v>
      </c>
      <c r="O101" s="121">
        <f>ROUND(I101-SUM(J101:N101),0)</f>
        <v>105905</v>
      </c>
      <c r="P101" s="131"/>
      <c r="Q101" s="149"/>
      <c r="R101" s="119"/>
      <c r="S101" s="121">
        <v>100000</v>
      </c>
      <c r="T101" s="121">
        <v>100000</v>
      </c>
      <c r="U101" s="122" t="s">
        <v>68</v>
      </c>
      <c r="V101" s="119"/>
    </row>
    <row r="102" spans="1:22" ht="25" customHeight="1" x14ac:dyDescent="0.35">
      <c r="A102" s="116"/>
      <c r="B102" s="117" t="s">
        <v>185</v>
      </c>
      <c r="C102" s="120">
        <v>45142</v>
      </c>
      <c r="D102" s="135" t="s">
        <v>240</v>
      </c>
      <c r="E102" s="121">
        <f>968000-626935</f>
        <v>341065</v>
      </c>
      <c r="F102" s="121">
        <v>301729</v>
      </c>
      <c r="G102" s="121">
        <f t="shared" ref="G102" si="44">ROUND(E102-F102,)</f>
        <v>39336</v>
      </c>
      <c r="H102" s="121">
        <f>ROUND(G102*$H$5,0)</f>
        <v>7080</v>
      </c>
      <c r="I102" s="121">
        <f t="shared" ref="I102" si="45">G102+H102</f>
        <v>46416</v>
      </c>
      <c r="J102" s="121">
        <f t="shared" si="42"/>
        <v>393.36</v>
      </c>
      <c r="K102" s="121">
        <f t="shared" si="43"/>
        <v>1966.8000000000002</v>
      </c>
      <c r="L102" s="121">
        <f>ROUND(G102*$L$12,)</f>
        <v>0</v>
      </c>
      <c r="M102" s="121">
        <f>ROUND(G102*$M$12,)</f>
        <v>0</v>
      </c>
      <c r="N102" s="196">
        <f t="shared" ref="N102" si="46">H102</f>
        <v>7080</v>
      </c>
      <c r="O102" s="121">
        <f t="shared" ref="O102" si="47">ROUND(I102-SUM(J102:N102),0)</f>
        <v>36976</v>
      </c>
      <c r="P102" s="131"/>
      <c r="Q102" s="149"/>
      <c r="R102" s="119"/>
      <c r="S102" s="121">
        <v>200000</v>
      </c>
      <c r="T102" s="121">
        <f>S102-1%*S102</f>
        <v>198000</v>
      </c>
      <c r="U102" s="121" t="s">
        <v>110</v>
      </c>
      <c r="V102" s="119"/>
    </row>
    <row r="103" spans="1:22" ht="25" customHeight="1" x14ac:dyDescent="0.35">
      <c r="A103" s="116"/>
      <c r="B103" s="117" t="s">
        <v>63</v>
      </c>
      <c r="C103" s="120">
        <v>45172</v>
      </c>
      <c r="D103" s="135">
        <v>10</v>
      </c>
      <c r="E103" s="121">
        <v>20280</v>
      </c>
      <c r="F103" s="119"/>
      <c r="G103" s="119"/>
      <c r="H103" s="119"/>
      <c r="I103" s="119"/>
      <c r="J103" s="119"/>
      <c r="K103" s="119"/>
      <c r="L103" s="119"/>
      <c r="M103" s="119"/>
      <c r="N103" s="149"/>
      <c r="O103" s="198">
        <f>E103</f>
        <v>20280</v>
      </c>
      <c r="P103" s="131"/>
      <c r="Q103" s="149"/>
      <c r="R103" s="119"/>
      <c r="S103" s="121">
        <v>200000</v>
      </c>
      <c r="T103" s="121">
        <v>198000</v>
      </c>
      <c r="U103" s="121" t="s">
        <v>121</v>
      </c>
      <c r="V103" s="119"/>
    </row>
    <row r="104" spans="1:22" ht="25" customHeight="1" x14ac:dyDescent="0.35">
      <c r="A104" s="116"/>
      <c r="B104" s="117" t="s">
        <v>63</v>
      </c>
      <c r="C104" s="120">
        <v>45255</v>
      </c>
      <c r="D104" s="135" t="s">
        <v>240</v>
      </c>
      <c r="E104" s="121">
        <v>7080</v>
      </c>
      <c r="F104" s="119"/>
      <c r="G104" s="119"/>
      <c r="H104" s="119"/>
      <c r="I104" s="119"/>
      <c r="J104" s="119"/>
      <c r="K104" s="119"/>
      <c r="L104" s="119"/>
      <c r="M104" s="119"/>
      <c r="N104" s="149"/>
      <c r="O104" s="198">
        <f>E104</f>
        <v>7080</v>
      </c>
      <c r="P104" s="131"/>
      <c r="Q104" s="149"/>
      <c r="R104" s="119"/>
      <c r="S104" s="121">
        <v>1000000</v>
      </c>
      <c r="T104" s="121">
        <v>990000</v>
      </c>
      <c r="U104" s="121" t="s">
        <v>288</v>
      </c>
      <c r="V104" s="119"/>
    </row>
    <row r="105" spans="1:22" ht="25" customHeight="1" x14ac:dyDescent="0.35">
      <c r="A105" s="116"/>
      <c r="B105" s="117" t="s">
        <v>185</v>
      </c>
      <c r="C105" s="120">
        <v>45648</v>
      </c>
      <c r="D105" s="135">
        <v>116</v>
      </c>
      <c r="E105" s="121">
        <v>968000</v>
      </c>
      <c r="F105" s="121">
        <v>0</v>
      </c>
      <c r="G105" s="121">
        <f t="shared" ref="G105" si="48">ROUND(E105-F105,)</f>
        <v>968000</v>
      </c>
      <c r="H105" s="121">
        <f>ROUND(G105*$H$5,0)</f>
        <v>174240</v>
      </c>
      <c r="I105" s="121">
        <f t="shared" ref="I105" si="49">G105+H105</f>
        <v>1142240</v>
      </c>
      <c r="J105" s="121">
        <f t="shared" ref="J105" si="50">G105*1%</f>
        <v>9680</v>
      </c>
      <c r="K105" s="121">
        <f t="shared" ref="K105" si="51">G105*5%</f>
        <v>48400</v>
      </c>
      <c r="L105" s="121">
        <f>ROUND(G105*$L$12,)</f>
        <v>0</v>
      </c>
      <c r="M105" s="121">
        <v>0</v>
      </c>
      <c r="N105" s="196">
        <f t="shared" ref="N105" si="52">H105</f>
        <v>174240</v>
      </c>
      <c r="O105" s="121">
        <f t="shared" ref="O105" si="53">ROUND(I105-SUM(J105:N105),0)</f>
        <v>909920</v>
      </c>
      <c r="P105" s="131"/>
      <c r="Q105" s="149"/>
      <c r="R105" s="119"/>
      <c r="S105" s="121">
        <v>500000</v>
      </c>
      <c r="T105" s="121">
        <v>495000</v>
      </c>
      <c r="U105" s="122" t="s">
        <v>297</v>
      </c>
      <c r="V105" s="119"/>
    </row>
    <row r="106" spans="1:22" ht="25" customHeight="1" x14ac:dyDescent="0.35">
      <c r="A106" s="116"/>
      <c r="B106" s="117" t="s">
        <v>243</v>
      </c>
      <c r="C106" s="120"/>
      <c r="D106" s="135">
        <v>116</v>
      </c>
      <c r="E106" s="121">
        <f>N105</f>
        <v>174240</v>
      </c>
      <c r="F106" s="119"/>
      <c r="G106" s="119"/>
      <c r="H106" s="119"/>
      <c r="I106" s="119"/>
      <c r="J106" s="119"/>
      <c r="K106" s="119"/>
      <c r="L106" s="119"/>
      <c r="M106" s="119"/>
      <c r="N106" s="149"/>
      <c r="O106" s="198">
        <f>E106</f>
        <v>174240</v>
      </c>
      <c r="P106" s="131"/>
      <c r="Q106" s="149"/>
      <c r="R106" s="119"/>
      <c r="S106" s="121">
        <v>300000</v>
      </c>
      <c r="T106" s="121">
        <v>297000</v>
      </c>
      <c r="U106" s="122" t="s">
        <v>320</v>
      </c>
      <c r="V106" s="119"/>
    </row>
    <row r="107" spans="1:22" ht="25" customHeight="1" x14ac:dyDescent="0.35">
      <c r="A107" s="116"/>
      <c r="B107" s="117"/>
      <c r="C107" s="114"/>
      <c r="D107" s="118"/>
      <c r="E107" s="119"/>
      <c r="F107" s="119"/>
      <c r="G107" s="119"/>
      <c r="H107" s="119"/>
      <c r="I107" s="119"/>
      <c r="J107" s="119"/>
      <c r="K107" s="119"/>
      <c r="L107" s="119"/>
      <c r="M107" s="119"/>
      <c r="N107" s="149"/>
      <c r="O107" s="149"/>
      <c r="P107" s="131"/>
      <c r="Q107" s="149"/>
      <c r="R107" s="119"/>
      <c r="S107" s="121">
        <v>500000</v>
      </c>
      <c r="T107" s="121">
        <v>495000</v>
      </c>
      <c r="U107" s="122" t="s">
        <v>330</v>
      </c>
      <c r="V107" s="119"/>
    </row>
    <row r="108" spans="1:22" ht="25" customHeight="1" x14ac:dyDescent="0.35">
      <c r="A108" s="116"/>
      <c r="B108" s="117"/>
      <c r="C108" s="114"/>
      <c r="D108" s="118"/>
      <c r="E108" s="119"/>
      <c r="F108" s="119"/>
      <c r="G108" s="119"/>
      <c r="H108" s="119"/>
      <c r="I108" s="119"/>
      <c r="J108" s="119"/>
      <c r="K108" s="119"/>
      <c r="L108" s="119"/>
      <c r="M108" s="119"/>
      <c r="N108" s="149"/>
      <c r="O108" s="149"/>
      <c r="P108" s="131"/>
      <c r="Q108" s="149"/>
      <c r="R108" s="119"/>
      <c r="S108" s="121">
        <v>500000</v>
      </c>
      <c r="T108" s="121">
        <v>495000</v>
      </c>
      <c r="U108" s="122" t="s">
        <v>349</v>
      </c>
      <c r="V108" s="119"/>
    </row>
    <row r="109" spans="1:22" ht="25" customHeight="1" x14ac:dyDescent="0.35">
      <c r="A109" s="116"/>
      <c r="B109" s="117"/>
      <c r="C109" s="114"/>
      <c r="D109" s="118"/>
      <c r="E109" s="119"/>
      <c r="F109" s="119"/>
      <c r="G109" s="119"/>
      <c r="H109" s="119"/>
      <c r="I109" s="119"/>
      <c r="J109" s="119"/>
      <c r="K109" s="119"/>
      <c r="L109" s="119"/>
      <c r="M109" s="119"/>
      <c r="N109" s="149"/>
      <c r="O109" s="149"/>
      <c r="P109" s="131"/>
      <c r="Q109" s="149"/>
      <c r="R109" s="119"/>
      <c r="S109" s="121">
        <v>400000</v>
      </c>
      <c r="T109" s="121">
        <v>396000</v>
      </c>
      <c r="U109" s="122" t="s">
        <v>350</v>
      </c>
      <c r="V109" s="119"/>
    </row>
    <row r="110" spans="1:22" ht="25" customHeight="1" x14ac:dyDescent="0.35">
      <c r="A110" s="116"/>
      <c r="B110" s="117"/>
      <c r="C110" s="114"/>
      <c r="D110" s="118"/>
      <c r="E110" s="119"/>
      <c r="F110" s="119"/>
      <c r="G110" s="119"/>
      <c r="H110" s="119"/>
      <c r="I110" s="119"/>
      <c r="J110" s="119"/>
      <c r="K110" s="119"/>
      <c r="L110" s="119"/>
      <c r="M110" s="119"/>
      <c r="N110" s="149"/>
      <c r="O110" s="149"/>
      <c r="P110" s="131"/>
      <c r="Q110" s="149"/>
      <c r="R110" s="119"/>
      <c r="S110" s="121">
        <v>400000</v>
      </c>
      <c r="T110" s="121">
        <v>396000</v>
      </c>
      <c r="U110" s="122" t="s">
        <v>354</v>
      </c>
      <c r="V110" s="119"/>
    </row>
    <row r="111" spans="1:22" ht="25" customHeight="1" thickBot="1" x14ac:dyDescent="0.4">
      <c r="A111" s="126"/>
      <c r="B111" s="141"/>
      <c r="C111" s="178"/>
      <c r="D111" s="142"/>
      <c r="E111" s="143"/>
      <c r="F111" s="143"/>
      <c r="G111" s="143"/>
      <c r="H111" s="143"/>
      <c r="I111" s="143"/>
      <c r="J111" s="143"/>
      <c r="K111" s="143"/>
      <c r="L111" s="143"/>
      <c r="M111" s="143"/>
      <c r="N111" s="207"/>
      <c r="O111" s="207"/>
      <c r="P111" s="144"/>
      <c r="Q111" s="207"/>
      <c r="R111" s="143"/>
      <c r="S111" s="189">
        <v>300000</v>
      </c>
      <c r="T111" s="189">
        <v>297000</v>
      </c>
      <c r="U111" s="191" t="s">
        <v>361</v>
      </c>
      <c r="V111" s="143"/>
    </row>
    <row r="112" spans="1:22" ht="25" customHeight="1" thickBot="1" x14ac:dyDescent="0.4">
      <c r="A112" s="215">
        <v>52796</v>
      </c>
      <c r="B112" s="216"/>
      <c r="C112" s="217"/>
      <c r="D112" s="218"/>
      <c r="E112" s="219"/>
      <c r="F112" s="219"/>
      <c r="G112" s="219"/>
      <c r="H112" s="219"/>
      <c r="I112" s="219"/>
      <c r="J112" s="219"/>
      <c r="K112" s="219"/>
      <c r="L112" s="219"/>
      <c r="M112" s="219"/>
      <c r="N112" s="220"/>
      <c r="O112" s="219"/>
      <c r="P112" s="221">
        <f>A112</f>
        <v>52796</v>
      </c>
      <c r="Q112" s="220"/>
      <c r="R112" s="219"/>
      <c r="S112" s="219"/>
      <c r="T112" s="219"/>
      <c r="U112" s="222"/>
      <c r="V112" s="219"/>
    </row>
    <row r="113" spans="1:22" ht="25" customHeight="1" x14ac:dyDescent="0.35">
      <c r="A113" s="213"/>
      <c r="B113" s="236" t="s">
        <v>393</v>
      </c>
      <c r="C113" s="245">
        <v>45706</v>
      </c>
      <c r="D113" s="246">
        <v>127</v>
      </c>
      <c r="E113" s="176">
        <v>1014000</v>
      </c>
      <c r="F113" s="176"/>
      <c r="G113" s="176">
        <f>E113-F113</f>
        <v>1014000</v>
      </c>
      <c r="H113" s="176">
        <f>G113*18%</f>
        <v>182520</v>
      </c>
      <c r="I113" s="176">
        <f>G113+H113</f>
        <v>1196520</v>
      </c>
      <c r="J113" s="176">
        <f>G113*1%</f>
        <v>10140</v>
      </c>
      <c r="K113" s="176">
        <f>G113*5%</f>
        <v>50700</v>
      </c>
      <c r="L113" s="176"/>
      <c r="M113" s="176">
        <v>0</v>
      </c>
      <c r="N113" s="224">
        <f>G113*18%</f>
        <v>182520</v>
      </c>
      <c r="O113" s="176">
        <f>I113-SUM(J113:N113)</f>
        <v>953160</v>
      </c>
      <c r="P113" s="214"/>
      <c r="Q113" s="153">
        <v>2535000</v>
      </c>
      <c r="R113" s="175">
        <f>Q113-SUM(S113:S116)</f>
        <v>35000</v>
      </c>
      <c r="S113" s="176">
        <v>500000</v>
      </c>
      <c r="T113" s="176">
        <v>495000</v>
      </c>
      <c r="U113" s="229" t="s">
        <v>22</v>
      </c>
      <c r="V113" s="175">
        <f>SUM(O113:O116)-SUM(S113:S116)</f>
        <v>-1364320</v>
      </c>
    </row>
    <row r="114" spans="1:22" ht="25" customHeight="1" x14ac:dyDescent="0.35">
      <c r="A114" s="116"/>
      <c r="B114" s="119" t="s">
        <v>243</v>
      </c>
      <c r="C114" s="121"/>
      <c r="D114" s="247">
        <v>127</v>
      </c>
      <c r="E114" s="121">
        <f>N113</f>
        <v>182520</v>
      </c>
      <c r="F114" s="119"/>
      <c r="G114" s="119"/>
      <c r="H114" s="119"/>
      <c r="I114" s="119"/>
      <c r="J114" s="119"/>
      <c r="K114" s="119"/>
      <c r="L114" s="119"/>
      <c r="M114" s="119"/>
      <c r="N114" s="149"/>
      <c r="O114" s="198">
        <f>E114</f>
        <v>182520</v>
      </c>
      <c r="P114" s="131"/>
      <c r="Q114" s="149"/>
      <c r="R114" s="119"/>
      <c r="S114" s="121">
        <v>500000</v>
      </c>
      <c r="T114" s="121">
        <v>495000</v>
      </c>
      <c r="U114" s="122" t="s">
        <v>346</v>
      </c>
      <c r="V114" s="119"/>
    </row>
    <row r="115" spans="1:22" ht="25" customHeight="1" x14ac:dyDescent="0.35">
      <c r="A115" s="116"/>
      <c r="B115" s="119"/>
      <c r="C115" s="119"/>
      <c r="D115" s="137"/>
      <c r="E115" s="119"/>
      <c r="F115" s="119"/>
      <c r="G115" s="119"/>
      <c r="H115" s="119"/>
      <c r="I115" s="119"/>
      <c r="J115" s="119"/>
      <c r="K115" s="119"/>
      <c r="L115" s="119"/>
      <c r="M115" s="119"/>
      <c r="N115" s="149"/>
      <c r="O115" s="119"/>
      <c r="P115" s="131"/>
      <c r="Q115" s="149"/>
      <c r="R115" s="119"/>
      <c r="S115" s="121">
        <v>1000000</v>
      </c>
      <c r="T115" s="121">
        <v>990000</v>
      </c>
      <c r="U115" s="122" t="s">
        <v>426</v>
      </c>
      <c r="V115" s="119"/>
    </row>
    <row r="116" spans="1:22" ht="25" customHeight="1" thickBot="1" x14ac:dyDescent="0.4">
      <c r="A116" s="126"/>
      <c r="B116" s="143"/>
      <c r="C116" s="143"/>
      <c r="D116" s="237"/>
      <c r="E116" s="143"/>
      <c r="F116" s="143"/>
      <c r="G116" s="143"/>
      <c r="H116" s="143"/>
      <c r="I116" s="143"/>
      <c r="J116" s="143"/>
      <c r="K116" s="143"/>
      <c r="L116" s="143"/>
      <c r="M116" s="143"/>
      <c r="N116" s="207"/>
      <c r="O116" s="143"/>
      <c r="P116" s="144"/>
      <c r="Q116" s="207"/>
      <c r="R116" s="143"/>
      <c r="S116" s="189">
        <v>500000</v>
      </c>
      <c r="T116" s="189">
        <v>495000</v>
      </c>
      <c r="U116" s="191" t="s">
        <v>476</v>
      </c>
      <c r="V116" s="143"/>
    </row>
    <row r="117" spans="1:22" ht="25" customHeight="1" thickBot="1" x14ac:dyDescent="0.4">
      <c r="A117" s="215">
        <v>53217</v>
      </c>
      <c r="B117" s="216"/>
      <c r="C117" s="217"/>
      <c r="D117" s="218"/>
      <c r="E117" s="219"/>
      <c r="F117" s="219"/>
      <c r="G117" s="219"/>
      <c r="H117" s="219"/>
      <c r="I117" s="219"/>
      <c r="J117" s="219"/>
      <c r="K117" s="219"/>
      <c r="L117" s="219"/>
      <c r="M117" s="219"/>
      <c r="N117" s="220"/>
      <c r="O117" s="219"/>
      <c r="P117" s="221">
        <f>A117</f>
        <v>53217</v>
      </c>
      <c r="Q117" s="220"/>
      <c r="R117" s="219"/>
      <c r="S117" s="219"/>
      <c r="T117" s="219"/>
      <c r="U117" s="222"/>
      <c r="V117" s="219"/>
    </row>
    <row r="118" spans="1:22" ht="25" customHeight="1" x14ac:dyDescent="0.35">
      <c r="A118" s="213">
        <v>3780000</v>
      </c>
      <c r="B118" s="252" t="s">
        <v>194</v>
      </c>
      <c r="C118" s="250">
        <v>45126</v>
      </c>
      <c r="D118" s="246">
        <v>32188</v>
      </c>
      <c r="E118" s="176">
        <v>756000</v>
      </c>
      <c r="F118" s="176"/>
      <c r="G118" s="176">
        <v>756000</v>
      </c>
      <c r="H118" s="176">
        <f>G118*18%</f>
        <v>136080</v>
      </c>
      <c r="I118" s="176">
        <f>G118+H118</f>
        <v>892080</v>
      </c>
      <c r="J118" s="176">
        <f>G118*1%</f>
        <v>7560</v>
      </c>
      <c r="K118" s="176">
        <f>G118*5%</f>
        <v>37800</v>
      </c>
      <c r="L118" s="176"/>
      <c r="M118" s="176">
        <f>G118*10%</f>
        <v>75600</v>
      </c>
      <c r="N118" s="224">
        <f>G118*18%</f>
        <v>136080</v>
      </c>
      <c r="O118" s="176">
        <f>I118-SUM(J118:N118)</f>
        <v>635040</v>
      </c>
      <c r="P118" s="214"/>
      <c r="Q118" s="153">
        <v>3780000</v>
      </c>
      <c r="R118" s="175">
        <f>Q118-SUM(S118:S127)</f>
        <v>80000</v>
      </c>
      <c r="S118" s="176">
        <v>500000</v>
      </c>
      <c r="T118" s="176">
        <f>S118-1%*S118</f>
        <v>495000</v>
      </c>
      <c r="U118" s="176" t="s">
        <v>70</v>
      </c>
      <c r="V118" s="175">
        <f>SUM(O118:O127)-SUM(S118:S127)</f>
        <v>-975727.58160000015</v>
      </c>
    </row>
    <row r="119" spans="1:22" ht="25" customHeight="1" x14ac:dyDescent="0.35">
      <c r="A119" s="116"/>
      <c r="B119" s="133" t="s">
        <v>194</v>
      </c>
      <c r="C119" s="206">
        <v>45213</v>
      </c>
      <c r="D119" s="247" t="s">
        <v>241</v>
      </c>
      <c r="E119" s="121">
        <f>378000</f>
        <v>378000</v>
      </c>
      <c r="F119" s="121">
        <f>166456.36+9240</f>
        <v>175696.36</v>
      </c>
      <c r="G119" s="121">
        <f>E119-F119</f>
        <v>202303.64</v>
      </c>
      <c r="H119" s="121">
        <f>G119*18%</f>
        <v>36414.655200000001</v>
      </c>
      <c r="I119" s="121">
        <f>G119+H119</f>
        <v>238718.29520000002</v>
      </c>
      <c r="J119" s="121">
        <f>G119*1%</f>
        <v>2023.0364000000002</v>
      </c>
      <c r="K119" s="121">
        <f>G119*5%</f>
        <v>10115.182000000001</v>
      </c>
      <c r="L119" s="121"/>
      <c r="M119" s="121">
        <f>G119*10%</f>
        <v>20230.364000000001</v>
      </c>
      <c r="N119" s="196">
        <f>G119*18%</f>
        <v>36414.655200000001</v>
      </c>
      <c r="O119" s="121">
        <f>I119-SUM(J119:N119)</f>
        <v>169935.0576</v>
      </c>
      <c r="P119" s="131"/>
      <c r="Q119" s="149"/>
      <c r="R119" s="119"/>
      <c r="S119" s="121">
        <v>150000</v>
      </c>
      <c r="T119" s="121">
        <f t="shared" ref="T119:T121" si="54">S119-1%*S119</f>
        <v>148500</v>
      </c>
      <c r="U119" s="121" t="s">
        <v>147</v>
      </c>
      <c r="V119" s="119"/>
    </row>
    <row r="120" spans="1:22" ht="25" customHeight="1" x14ac:dyDescent="0.35">
      <c r="A120" s="116"/>
      <c r="B120" s="133" t="s">
        <v>194</v>
      </c>
      <c r="C120" s="206">
        <v>45268</v>
      </c>
      <c r="D120" s="247" t="s">
        <v>242</v>
      </c>
      <c r="E120" s="121">
        <v>378000</v>
      </c>
      <c r="F120" s="121">
        <v>96375.92</v>
      </c>
      <c r="G120" s="121">
        <f>E120-F120</f>
        <v>281624.08</v>
      </c>
      <c r="H120" s="121">
        <f>G120*18%</f>
        <v>50692.3344</v>
      </c>
      <c r="I120" s="121">
        <f>G120+H120</f>
        <v>332316.41440000001</v>
      </c>
      <c r="J120" s="121">
        <f>G120*1%</f>
        <v>2816.2408</v>
      </c>
      <c r="K120" s="121">
        <f>G120*5%</f>
        <v>14081.204000000002</v>
      </c>
      <c r="L120" s="121"/>
      <c r="M120" s="121">
        <f>G120*10%</f>
        <v>28162.408000000003</v>
      </c>
      <c r="N120" s="196">
        <f>G120*18%</f>
        <v>50692.3344</v>
      </c>
      <c r="O120" s="121">
        <f t="shared" ref="O120" si="55">I120-SUM(J120:N120)</f>
        <v>236564.22719999999</v>
      </c>
      <c r="P120" s="131"/>
      <c r="Q120" s="149"/>
      <c r="R120" s="119"/>
      <c r="S120" s="121">
        <v>250000</v>
      </c>
      <c r="T120" s="121">
        <f t="shared" si="54"/>
        <v>247500</v>
      </c>
      <c r="U120" s="121" t="s">
        <v>152</v>
      </c>
      <c r="V120" s="119"/>
    </row>
    <row r="121" spans="1:22" ht="25" customHeight="1" x14ac:dyDescent="0.35">
      <c r="A121" s="116"/>
      <c r="B121" s="131" t="s">
        <v>243</v>
      </c>
      <c r="C121" s="206"/>
      <c r="D121" s="247" t="s">
        <v>274</v>
      </c>
      <c r="E121" s="121">
        <f>N118+N119+N120</f>
        <v>223186.9896</v>
      </c>
      <c r="F121" s="119"/>
      <c r="G121" s="119"/>
      <c r="H121" s="119"/>
      <c r="I121" s="119"/>
      <c r="J121" s="119"/>
      <c r="K121" s="119"/>
      <c r="L121" s="119"/>
      <c r="M121" s="119"/>
      <c r="N121" s="149"/>
      <c r="O121" s="198">
        <f>E121</f>
        <v>223186.9896</v>
      </c>
      <c r="P121" s="131"/>
      <c r="Q121" s="149"/>
      <c r="R121" s="119"/>
      <c r="S121" s="121">
        <v>100000</v>
      </c>
      <c r="T121" s="121">
        <f t="shared" si="54"/>
        <v>99000</v>
      </c>
      <c r="U121" s="248" t="s">
        <v>160</v>
      </c>
      <c r="V121" s="119"/>
    </row>
    <row r="122" spans="1:22" ht="25" customHeight="1" x14ac:dyDescent="0.35">
      <c r="A122" s="116"/>
      <c r="B122" s="131" t="s">
        <v>272</v>
      </c>
      <c r="C122" s="120">
        <v>45792</v>
      </c>
      <c r="D122" s="247" t="s">
        <v>488</v>
      </c>
      <c r="E122" s="121">
        <v>169166.2</v>
      </c>
      <c r="F122" s="121"/>
      <c r="G122" s="121">
        <f>E122-F122</f>
        <v>169166.2</v>
      </c>
      <c r="H122" s="121">
        <f>G122*18%</f>
        <v>30449.916000000001</v>
      </c>
      <c r="I122" s="121">
        <f>G122+H122</f>
        <v>199616.11600000001</v>
      </c>
      <c r="J122" s="121">
        <f>G122*1%</f>
        <v>1691.6620000000003</v>
      </c>
      <c r="K122" s="121">
        <f>G122*5%</f>
        <v>8458.3100000000013</v>
      </c>
      <c r="L122" s="121"/>
      <c r="M122" s="121">
        <v>0</v>
      </c>
      <c r="N122" s="196">
        <f>G122*18%</f>
        <v>30449.916000000001</v>
      </c>
      <c r="O122" s="121">
        <f t="shared" ref="O122" si="56">I122-SUM(J122:N122)</f>
        <v>159016.228</v>
      </c>
      <c r="P122" s="177"/>
      <c r="Q122" s="149"/>
      <c r="R122" s="119"/>
      <c r="S122" s="121">
        <v>500000</v>
      </c>
      <c r="T122" s="121">
        <v>475000</v>
      </c>
      <c r="U122" s="248" t="s">
        <v>221</v>
      </c>
      <c r="V122" s="119"/>
    </row>
    <row r="123" spans="1:22" ht="25" customHeight="1" x14ac:dyDescent="0.35">
      <c r="A123" s="116"/>
      <c r="B123" s="131" t="s">
        <v>243</v>
      </c>
      <c r="C123" s="251"/>
      <c r="D123" s="247">
        <v>27</v>
      </c>
      <c r="E123" s="121">
        <f>N122</f>
        <v>30449.916000000001</v>
      </c>
      <c r="F123" s="119"/>
      <c r="G123" s="119"/>
      <c r="H123" s="119"/>
      <c r="I123" s="119"/>
      <c r="J123" s="119"/>
      <c r="K123" s="119"/>
      <c r="L123" s="119"/>
      <c r="M123" s="119"/>
      <c r="N123" s="149"/>
      <c r="O123" s="121">
        <f>E123</f>
        <v>30449.916000000001</v>
      </c>
      <c r="P123" s="131"/>
      <c r="Q123" s="149"/>
      <c r="R123" s="119"/>
      <c r="S123" s="121">
        <v>500000</v>
      </c>
      <c r="T123" s="121">
        <v>495000</v>
      </c>
      <c r="U123" s="248" t="s">
        <v>273</v>
      </c>
      <c r="V123" s="119"/>
    </row>
    <row r="124" spans="1:22" ht="25" customHeight="1" x14ac:dyDescent="0.35">
      <c r="A124" s="116"/>
      <c r="B124" s="133" t="s">
        <v>194</v>
      </c>
      <c r="C124" s="206">
        <v>45641</v>
      </c>
      <c r="D124" s="197">
        <v>106</v>
      </c>
      <c r="E124" s="121">
        <v>1134000</v>
      </c>
      <c r="F124" s="121"/>
      <c r="G124" s="121">
        <f>E124-F124</f>
        <v>1134000</v>
      </c>
      <c r="H124" s="121">
        <f>G124*18%</f>
        <v>204120</v>
      </c>
      <c r="I124" s="121">
        <f>G124+H124</f>
        <v>1338120</v>
      </c>
      <c r="J124" s="121">
        <f>G124*1%</f>
        <v>11340</v>
      </c>
      <c r="K124" s="121">
        <f>G124*5%</f>
        <v>56700</v>
      </c>
      <c r="L124" s="121"/>
      <c r="M124" s="121">
        <v>0</v>
      </c>
      <c r="N124" s="196">
        <f>G124*18%</f>
        <v>204120</v>
      </c>
      <c r="O124" s="121">
        <f t="shared" ref="O124" si="57">I124-SUM(J124:N124)</f>
        <v>1065960</v>
      </c>
      <c r="P124" s="131"/>
      <c r="Q124" s="149"/>
      <c r="R124" s="119"/>
      <c r="S124" s="121">
        <v>300000</v>
      </c>
      <c r="T124" s="121">
        <v>297000</v>
      </c>
      <c r="U124" s="248" t="s">
        <v>290</v>
      </c>
      <c r="V124" s="119"/>
    </row>
    <row r="125" spans="1:22" ht="25" customHeight="1" x14ac:dyDescent="0.35">
      <c r="A125" s="116"/>
      <c r="B125" s="131" t="s">
        <v>243</v>
      </c>
      <c r="C125" s="206"/>
      <c r="D125" s="247">
        <v>106</v>
      </c>
      <c r="E125" s="121">
        <f>N124</f>
        <v>204120</v>
      </c>
      <c r="F125" s="119"/>
      <c r="G125" s="119"/>
      <c r="H125" s="119"/>
      <c r="I125" s="119"/>
      <c r="J125" s="119"/>
      <c r="K125" s="119"/>
      <c r="L125" s="119"/>
      <c r="M125" s="119"/>
      <c r="N125" s="149"/>
      <c r="O125" s="198">
        <f>E125</f>
        <v>204120</v>
      </c>
      <c r="P125" s="131"/>
      <c r="Q125" s="149"/>
      <c r="R125" s="119"/>
      <c r="S125" s="121">
        <v>600000</v>
      </c>
      <c r="T125" s="121">
        <v>594000</v>
      </c>
      <c r="U125" s="248" t="s">
        <v>333</v>
      </c>
      <c r="V125" s="119"/>
    </row>
    <row r="126" spans="1:22" ht="25" customHeight="1" x14ac:dyDescent="0.35">
      <c r="A126" s="116"/>
      <c r="B126" s="131"/>
      <c r="C126" s="119"/>
      <c r="D126" s="137"/>
      <c r="E126" s="119"/>
      <c r="F126" s="119"/>
      <c r="G126" s="119"/>
      <c r="H126" s="119"/>
      <c r="I126" s="119"/>
      <c r="J126" s="119"/>
      <c r="K126" s="119"/>
      <c r="L126" s="119"/>
      <c r="M126" s="119"/>
      <c r="N126" s="149"/>
      <c r="O126" s="119"/>
      <c r="P126" s="131"/>
      <c r="Q126" s="149"/>
      <c r="R126" s="119"/>
      <c r="S126" s="121">
        <v>500000</v>
      </c>
      <c r="T126" s="121">
        <v>495000</v>
      </c>
      <c r="U126" s="248" t="s">
        <v>345</v>
      </c>
      <c r="V126" s="119"/>
    </row>
    <row r="127" spans="1:22" ht="25" customHeight="1" thickBot="1" x14ac:dyDescent="0.4">
      <c r="A127" s="126"/>
      <c r="B127" s="141"/>
      <c r="C127" s="143"/>
      <c r="D127" s="237"/>
      <c r="E127" s="143"/>
      <c r="F127" s="143"/>
      <c r="G127" s="143"/>
      <c r="H127" s="143"/>
      <c r="I127" s="143"/>
      <c r="J127" s="143"/>
      <c r="K127" s="143"/>
      <c r="L127" s="143"/>
      <c r="M127" s="143"/>
      <c r="N127" s="207"/>
      <c r="O127" s="143"/>
      <c r="P127" s="144"/>
      <c r="Q127" s="207"/>
      <c r="R127" s="143"/>
      <c r="S127" s="189">
        <v>300000</v>
      </c>
      <c r="T127" s="189">
        <v>297000</v>
      </c>
      <c r="U127" s="249" t="s">
        <v>375</v>
      </c>
      <c r="V127" s="143"/>
    </row>
    <row r="128" spans="1:22" ht="25" customHeight="1" thickBot="1" x14ac:dyDescent="0.4">
      <c r="A128" s="215">
        <v>53218</v>
      </c>
      <c r="B128" s="216"/>
      <c r="C128" s="217"/>
      <c r="D128" s="218"/>
      <c r="E128" s="219"/>
      <c r="F128" s="219"/>
      <c r="G128" s="219"/>
      <c r="H128" s="219"/>
      <c r="I128" s="219"/>
      <c r="J128" s="219"/>
      <c r="K128" s="219"/>
      <c r="L128" s="219"/>
      <c r="M128" s="219"/>
      <c r="N128" s="220"/>
      <c r="O128" s="219"/>
      <c r="P128" s="221">
        <f>A128</f>
        <v>53218</v>
      </c>
      <c r="Q128" s="220"/>
      <c r="R128" s="219"/>
      <c r="S128" s="219"/>
      <c r="T128" s="219"/>
      <c r="U128" s="222"/>
      <c r="V128" s="219"/>
    </row>
    <row r="129" spans="1:22" ht="25" customHeight="1" x14ac:dyDescent="0.35">
      <c r="A129" s="213"/>
      <c r="B129" s="172" t="s">
        <v>193</v>
      </c>
      <c r="C129" s="175"/>
      <c r="D129" s="239"/>
      <c r="E129" s="175"/>
      <c r="F129" s="175"/>
      <c r="G129" s="175"/>
      <c r="H129" s="175"/>
      <c r="I129" s="175"/>
      <c r="J129" s="175"/>
      <c r="K129" s="175"/>
      <c r="L129" s="175"/>
      <c r="M129" s="175"/>
      <c r="N129" s="153"/>
      <c r="O129" s="175"/>
      <c r="P129" s="214"/>
      <c r="Q129" s="153"/>
      <c r="R129" s="175"/>
      <c r="S129" s="175"/>
      <c r="T129" s="175"/>
      <c r="U129" s="240"/>
      <c r="V129" s="175"/>
    </row>
    <row r="130" spans="1:22" ht="25" customHeight="1" thickBot="1" x14ac:dyDescent="0.4">
      <c r="A130" s="126"/>
      <c r="B130" s="141"/>
      <c r="C130" s="143"/>
      <c r="D130" s="237"/>
      <c r="E130" s="143"/>
      <c r="F130" s="143"/>
      <c r="G130" s="143"/>
      <c r="H130" s="143"/>
      <c r="I130" s="143"/>
      <c r="J130" s="143"/>
      <c r="K130" s="143"/>
      <c r="L130" s="143"/>
      <c r="M130" s="143"/>
      <c r="N130" s="207"/>
      <c r="O130" s="143"/>
      <c r="P130" s="144"/>
      <c r="Q130" s="207"/>
      <c r="R130" s="143"/>
      <c r="S130" s="143"/>
      <c r="T130" s="143"/>
      <c r="U130" s="238"/>
      <c r="V130" s="143"/>
    </row>
    <row r="131" spans="1:22" ht="25" customHeight="1" thickBot="1" x14ac:dyDescent="0.4">
      <c r="A131" s="215">
        <v>56007</v>
      </c>
      <c r="B131" s="216"/>
      <c r="C131" s="217"/>
      <c r="D131" s="218"/>
      <c r="E131" s="219"/>
      <c r="F131" s="219"/>
      <c r="G131" s="219"/>
      <c r="H131" s="219"/>
      <c r="I131" s="219"/>
      <c r="J131" s="219"/>
      <c r="K131" s="219"/>
      <c r="L131" s="219"/>
      <c r="M131" s="219"/>
      <c r="N131" s="220"/>
      <c r="O131" s="219"/>
      <c r="P131" s="221">
        <f>A131</f>
        <v>56007</v>
      </c>
      <c r="Q131" s="220"/>
      <c r="R131" s="219"/>
      <c r="S131" s="219"/>
      <c r="T131" s="219"/>
      <c r="U131" s="222"/>
      <c r="V131" s="219"/>
    </row>
    <row r="132" spans="1:22" ht="25" customHeight="1" x14ac:dyDescent="0.35">
      <c r="A132" s="213">
        <v>4235000</v>
      </c>
      <c r="B132" s="214" t="s">
        <v>196</v>
      </c>
      <c r="C132" s="199">
        <v>45012</v>
      </c>
      <c r="D132" s="200">
        <v>28</v>
      </c>
      <c r="E132" s="176">
        <f>4251823*10%</f>
        <v>425182.30000000005</v>
      </c>
      <c r="F132" s="176">
        <v>168709.9</v>
      </c>
      <c r="G132" s="176">
        <f>ROUND(E132-F132,)</f>
        <v>256472</v>
      </c>
      <c r="H132" s="176">
        <f>ROUND(G132*$H$5,0)</f>
        <v>46165</v>
      </c>
      <c r="I132" s="176">
        <f>G132+H132</f>
        <v>302637</v>
      </c>
      <c r="J132" s="176">
        <f t="shared" ref="J132:J133" si="58">G132*1%</f>
        <v>2564.7200000000003</v>
      </c>
      <c r="K132" s="176">
        <f t="shared" ref="K132:K133" si="59">G132*5%</f>
        <v>12823.6</v>
      </c>
      <c r="L132" s="176">
        <f>ROUND(G132*$L$12,)</f>
        <v>0</v>
      </c>
      <c r="M132" s="176">
        <f>ROUND(G132*$M$12,)</f>
        <v>0</v>
      </c>
      <c r="N132" s="224">
        <f>H132</f>
        <v>46165</v>
      </c>
      <c r="O132" s="176">
        <f>ROUND(I132-SUM(J132:N132),0)</f>
        <v>241084</v>
      </c>
      <c r="P132" s="214"/>
      <c r="Q132" s="153">
        <v>4235000</v>
      </c>
      <c r="R132" s="175">
        <f>Q132-SUM(S132:S144)</f>
        <v>62411</v>
      </c>
      <c r="S132" s="176">
        <v>215436</v>
      </c>
      <c r="T132" s="176">
        <v>215436</v>
      </c>
      <c r="U132" s="229" t="s">
        <v>73</v>
      </c>
      <c r="V132" s="175">
        <f>SUM(O132:O144)-SUM(S132:S144)</f>
        <v>-1307340</v>
      </c>
    </row>
    <row r="133" spans="1:22" ht="25" customHeight="1" x14ac:dyDescent="0.35">
      <c r="A133" s="116"/>
      <c r="B133" s="131" t="s">
        <v>196</v>
      </c>
      <c r="C133" s="120">
        <v>45031</v>
      </c>
      <c r="D133" s="135">
        <v>11</v>
      </c>
      <c r="E133" s="121">
        <v>425182.3</v>
      </c>
      <c r="F133" s="121"/>
      <c r="G133" s="121">
        <f>ROUND(E133-F133,)</f>
        <v>425182</v>
      </c>
      <c r="H133" s="121">
        <f>ROUND(G133*$H$5,0)</f>
        <v>76533</v>
      </c>
      <c r="I133" s="121">
        <f>G133+H133</f>
        <v>501715</v>
      </c>
      <c r="J133" s="121">
        <f t="shared" si="58"/>
        <v>4251.82</v>
      </c>
      <c r="K133" s="121">
        <f t="shared" si="59"/>
        <v>21259.100000000002</v>
      </c>
      <c r="L133" s="121">
        <f>ROUND(G133*$L$12,)</f>
        <v>0</v>
      </c>
      <c r="M133" s="121">
        <f>ROUND(G133*$M$12,)</f>
        <v>0</v>
      </c>
      <c r="N133" s="196">
        <f>H133</f>
        <v>76533</v>
      </c>
      <c r="O133" s="121">
        <f>ROUND(I133-SUM(J133:N133),0)</f>
        <v>399671</v>
      </c>
      <c r="P133" s="131"/>
      <c r="Q133" s="149"/>
      <c r="R133" s="119"/>
      <c r="S133" s="121">
        <v>357153</v>
      </c>
      <c r="T133" s="121">
        <v>357153</v>
      </c>
      <c r="U133" s="122" t="s">
        <v>75</v>
      </c>
      <c r="V133" s="119"/>
    </row>
    <row r="134" spans="1:22" ht="25" customHeight="1" x14ac:dyDescent="0.35">
      <c r="A134" s="116"/>
      <c r="B134" s="131" t="s">
        <v>29</v>
      </c>
      <c r="C134" s="120"/>
      <c r="D134" s="135">
        <v>28</v>
      </c>
      <c r="E134" s="121">
        <v>46165</v>
      </c>
      <c r="F134" s="119"/>
      <c r="G134" s="119">
        <v>0</v>
      </c>
      <c r="H134" s="119">
        <v>0</v>
      </c>
      <c r="I134" s="119">
        <v>0</v>
      </c>
      <c r="J134" s="119">
        <v>0</v>
      </c>
      <c r="K134" s="119">
        <v>0</v>
      </c>
      <c r="L134" s="119">
        <v>0</v>
      </c>
      <c r="M134" s="119">
        <v>0</v>
      </c>
      <c r="N134" s="149">
        <v>0</v>
      </c>
      <c r="O134" s="198">
        <f>E134</f>
        <v>46165</v>
      </c>
      <c r="P134" s="131"/>
      <c r="Q134" s="149"/>
      <c r="R134" s="119"/>
      <c r="S134" s="121">
        <v>200000</v>
      </c>
      <c r="T134" s="121">
        <v>198000</v>
      </c>
      <c r="U134" s="121" t="s">
        <v>109</v>
      </c>
      <c r="V134" s="119"/>
    </row>
    <row r="135" spans="1:22" ht="25" customHeight="1" x14ac:dyDescent="0.35">
      <c r="A135" s="116"/>
      <c r="B135" s="131" t="s">
        <v>29</v>
      </c>
      <c r="C135" s="120"/>
      <c r="D135" s="135">
        <v>11</v>
      </c>
      <c r="E135" s="121">
        <v>76533</v>
      </c>
      <c r="F135" s="119"/>
      <c r="G135" s="119">
        <v>0</v>
      </c>
      <c r="H135" s="119">
        <v>0</v>
      </c>
      <c r="I135" s="119">
        <v>0</v>
      </c>
      <c r="J135" s="119">
        <v>0</v>
      </c>
      <c r="K135" s="119">
        <v>0</v>
      </c>
      <c r="L135" s="119">
        <v>0</v>
      </c>
      <c r="M135" s="119">
        <v>0</v>
      </c>
      <c r="N135" s="149">
        <v>0</v>
      </c>
      <c r="O135" s="198">
        <f>E135</f>
        <v>76533</v>
      </c>
      <c r="P135" s="131"/>
      <c r="Q135" s="149"/>
      <c r="R135" s="119"/>
      <c r="S135" s="121">
        <v>200000</v>
      </c>
      <c r="T135" s="121">
        <v>198000</v>
      </c>
      <c r="U135" s="121" t="s">
        <v>133</v>
      </c>
      <c r="V135" s="119"/>
    </row>
    <row r="136" spans="1:22" ht="25" customHeight="1" x14ac:dyDescent="0.35">
      <c r="A136" s="116"/>
      <c r="B136" s="131" t="s">
        <v>196</v>
      </c>
      <c r="C136" s="120">
        <v>45182</v>
      </c>
      <c r="D136" s="135" t="s">
        <v>244</v>
      </c>
      <c r="E136" s="121">
        <v>850364</v>
      </c>
      <c r="F136" s="121">
        <f>364076+6270</f>
        <v>370346</v>
      </c>
      <c r="G136" s="121">
        <f>ROUND(E136-F136,)</f>
        <v>480018</v>
      </c>
      <c r="H136" s="121">
        <f>ROUND(G136*$H$5,0)</f>
        <v>86403</v>
      </c>
      <c r="I136" s="121">
        <f>G136+H136</f>
        <v>566421</v>
      </c>
      <c r="J136" s="121">
        <f t="shared" ref="J136" si="60">G136*1%</f>
        <v>4800.18</v>
      </c>
      <c r="K136" s="121">
        <f t="shared" ref="K136" si="61">G136*5%</f>
        <v>24000.9</v>
      </c>
      <c r="L136" s="121">
        <f>ROUND(G136*$L$12,)</f>
        <v>0</v>
      </c>
      <c r="M136" s="121">
        <f>ROUND(G136*$M$12,)</f>
        <v>0</v>
      </c>
      <c r="N136" s="196">
        <f>H136</f>
        <v>86403</v>
      </c>
      <c r="O136" s="121">
        <f>ROUND(I136-SUM(J136:N136),0)</f>
        <v>451217</v>
      </c>
      <c r="P136" s="131"/>
      <c r="Q136" s="149"/>
      <c r="R136" s="119"/>
      <c r="S136" s="121">
        <v>100000</v>
      </c>
      <c r="T136" s="121">
        <v>99000</v>
      </c>
      <c r="U136" s="122" t="s">
        <v>122</v>
      </c>
      <c r="V136" s="119"/>
    </row>
    <row r="137" spans="1:22" ht="25" customHeight="1" x14ac:dyDescent="0.35">
      <c r="A137" s="116"/>
      <c r="B137" s="131" t="s">
        <v>29</v>
      </c>
      <c r="C137" s="120"/>
      <c r="D137" s="135" t="s">
        <v>244</v>
      </c>
      <c r="E137" s="121">
        <v>86403</v>
      </c>
      <c r="F137" s="119"/>
      <c r="G137" s="119">
        <v>0</v>
      </c>
      <c r="H137" s="119">
        <v>0</v>
      </c>
      <c r="I137" s="119">
        <v>0</v>
      </c>
      <c r="J137" s="119">
        <v>0</v>
      </c>
      <c r="K137" s="119">
        <v>0</v>
      </c>
      <c r="L137" s="119">
        <v>0</v>
      </c>
      <c r="M137" s="119">
        <v>0</v>
      </c>
      <c r="N137" s="149">
        <v>0</v>
      </c>
      <c r="O137" s="198">
        <f>E137</f>
        <v>86403</v>
      </c>
      <c r="P137" s="131"/>
      <c r="Q137" s="149"/>
      <c r="R137" s="119"/>
      <c r="S137" s="121">
        <v>100000</v>
      </c>
      <c r="T137" s="121">
        <v>99000</v>
      </c>
      <c r="U137" s="122" t="s">
        <v>159</v>
      </c>
      <c r="V137" s="119"/>
    </row>
    <row r="138" spans="1:22" ht="25" customHeight="1" x14ac:dyDescent="0.35">
      <c r="A138" s="116"/>
      <c r="B138" s="131" t="s">
        <v>196</v>
      </c>
      <c r="C138" s="120">
        <v>45307</v>
      </c>
      <c r="D138" s="135" t="s">
        <v>275</v>
      </c>
      <c r="E138" s="121">
        <v>425182</v>
      </c>
      <c r="F138" s="121">
        <v>412911</v>
      </c>
      <c r="G138" s="121">
        <f>ROUND(E138-F138,)</f>
        <v>12271</v>
      </c>
      <c r="H138" s="121">
        <f>ROUND(G138*$H$5,0)</f>
        <v>2209</v>
      </c>
      <c r="I138" s="121">
        <f>G138+H138</f>
        <v>14480</v>
      </c>
      <c r="J138" s="121">
        <f t="shared" ref="J138" si="62">G138*1%</f>
        <v>122.71000000000001</v>
      </c>
      <c r="K138" s="121">
        <f t="shared" ref="K138" si="63">G138*5%</f>
        <v>613.55000000000007</v>
      </c>
      <c r="L138" s="121">
        <f>ROUND(G138*$L$12,)</f>
        <v>0</v>
      </c>
      <c r="M138" s="121">
        <f>ROUND(G138*$M$12,)</f>
        <v>0</v>
      </c>
      <c r="N138" s="196">
        <f>H138</f>
        <v>2209</v>
      </c>
      <c r="O138" s="121">
        <f>ROUND(I138-SUM(J138:N138),0)</f>
        <v>11535</v>
      </c>
      <c r="P138" s="131"/>
      <c r="Q138" s="149"/>
      <c r="R138" s="119"/>
      <c r="S138" s="121">
        <v>500000</v>
      </c>
      <c r="T138" s="121">
        <v>495000</v>
      </c>
      <c r="U138" s="122" t="s">
        <v>233</v>
      </c>
      <c r="V138" s="119"/>
    </row>
    <row r="139" spans="1:22" ht="25" customHeight="1" x14ac:dyDescent="0.35">
      <c r="A139" s="116"/>
      <c r="B139" s="131" t="s">
        <v>29</v>
      </c>
      <c r="C139" s="120"/>
      <c r="D139" s="135" t="s">
        <v>275</v>
      </c>
      <c r="E139" s="121">
        <f>N138</f>
        <v>2209</v>
      </c>
      <c r="F139" s="119"/>
      <c r="G139" s="119"/>
      <c r="H139" s="119"/>
      <c r="I139" s="119"/>
      <c r="J139" s="119"/>
      <c r="K139" s="119"/>
      <c r="L139" s="119"/>
      <c r="M139" s="119"/>
      <c r="N139" s="149"/>
      <c r="O139" s="198">
        <f>E139</f>
        <v>2209</v>
      </c>
      <c r="P139" s="131"/>
      <c r="Q139" s="149"/>
      <c r="R139" s="119"/>
      <c r="S139" s="121">
        <v>400000</v>
      </c>
      <c r="T139" s="121">
        <v>396000</v>
      </c>
      <c r="U139" s="122" t="s">
        <v>321</v>
      </c>
      <c r="V139" s="119"/>
    </row>
    <row r="140" spans="1:22" ht="25" customHeight="1" x14ac:dyDescent="0.35">
      <c r="A140" s="116"/>
      <c r="B140" s="131" t="s">
        <v>196</v>
      </c>
      <c r="C140" s="120">
        <v>45721</v>
      </c>
      <c r="D140" s="135">
        <v>99</v>
      </c>
      <c r="E140" s="121">
        <v>1609300</v>
      </c>
      <c r="F140" s="121">
        <f>216574+8412</f>
        <v>224986</v>
      </c>
      <c r="G140" s="121">
        <f>ROUND(E140-F140,)</f>
        <v>1384314</v>
      </c>
      <c r="H140" s="121">
        <f>ROUND(G140*$H$5,0)</f>
        <v>249177</v>
      </c>
      <c r="I140" s="121">
        <f>G140+H140</f>
        <v>1633491</v>
      </c>
      <c r="J140" s="121">
        <f t="shared" ref="J140" si="64">G140*1%</f>
        <v>13843.14</v>
      </c>
      <c r="K140" s="121">
        <f t="shared" ref="K140" si="65">G140*5%</f>
        <v>69215.7</v>
      </c>
      <c r="L140" s="121">
        <f>ROUND(G140*$L$12,)</f>
        <v>0</v>
      </c>
      <c r="M140" s="121">
        <f>ROUND(G140*$M$12,)</f>
        <v>0</v>
      </c>
      <c r="N140" s="196">
        <f>H140</f>
        <v>249177</v>
      </c>
      <c r="O140" s="121">
        <f>ROUND(I140-SUM(J140:N140),0)</f>
        <v>1301255</v>
      </c>
      <c r="P140" s="131"/>
      <c r="Q140" s="149"/>
      <c r="R140" s="119"/>
      <c r="S140" s="121">
        <v>800000</v>
      </c>
      <c r="T140" s="121">
        <v>792000</v>
      </c>
      <c r="U140" s="122" t="s">
        <v>332</v>
      </c>
      <c r="V140" s="119"/>
    </row>
    <row r="141" spans="1:22" ht="25" customHeight="1" x14ac:dyDescent="0.35">
      <c r="A141" s="116"/>
      <c r="B141" s="131" t="s">
        <v>29</v>
      </c>
      <c r="C141" s="120"/>
      <c r="D141" s="135">
        <v>99</v>
      </c>
      <c r="E141" s="121">
        <f>N140</f>
        <v>249177</v>
      </c>
      <c r="F141" s="119"/>
      <c r="G141" s="119"/>
      <c r="H141" s="119"/>
      <c r="I141" s="119"/>
      <c r="J141" s="119"/>
      <c r="K141" s="119"/>
      <c r="L141" s="119"/>
      <c r="M141" s="119"/>
      <c r="N141" s="149"/>
      <c r="O141" s="198">
        <f>E141</f>
        <v>249177</v>
      </c>
      <c r="P141" s="131"/>
      <c r="Q141" s="149"/>
      <c r="R141" s="119"/>
      <c r="S141" s="121">
        <v>500000</v>
      </c>
      <c r="T141" s="121">
        <v>495000</v>
      </c>
      <c r="U141" s="122" t="s">
        <v>414</v>
      </c>
      <c r="V141" s="119"/>
    </row>
    <row r="142" spans="1:22" ht="25" customHeight="1" x14ac:dyDescent="0.35">
      <c r="A142" s="116"/>
      <c r="B142" s="117"/>
      <c r="C142" s="114"/>
      <c r="D142" s="118"/>
      <c r="E142" s="119"/>
      <c r="F142" s="119"/>
      <c r="G142" s="119"/>
      <c r="H142" s="119"/>
      <c r="I142" s="119"/>
      <c r="J142" s="119"/>
      <c r="K142" s="119"/>
      <c r="L142" s="119"/>
      <c r="M142" s="119"/>
      <c r="N142" s="149"/>
      <c r="O142" s="185"/>
      <c r="P142" s="131"/>
      <c r="Q142" s="149"/>
      <c r="R142" s="119"/>
      <c r="S142" s="121">
        <v>200000</v>
      </c>
      <c r="T142" s="121">
        <v>198000</v>
      </c>
      <c r="U142" s="122" t="s">
        <v>344</v>
      </c>
      <c r="V142" s="119"/>
    </row>
    <row r="143" spans="1:22" ht="25" customHeight="1" x14ac:dyDescent="0.35">
      <c r="A143" s="116"/>
      <c r="B143" s="117"/>
      <c r="C143" s="114"/>
      <c r="D143" s="118"/>
      <c r="E143" s="119"/>
      <c r="F143" s="119"/>
      <c r="G143" s="119"/>
      <c r="H143" s="119"/>
      <c r="I143" s="119"/>
      <c r="J143" s="119"/>
      <c r="K143" s="119"/>
      <c r="L143" s="119"/>
      <c r="M143" s="119"/>
      <c r="N143" s="149"/>
      <c r="O143" s="185"/>
      <c r="P143" s="131"/>
      <c r="Q143" s="149"/>
      <c r="R143" s="119"/>
      <c r="S143" s="121">
        <v>300000</v>
      </c>
      <c r="T143" s="121">
        <v>297000</v>
      </c>
      <c r="U143" s="122" t="s">
        <v>351</v>
      </c>
      <c r="V143" s="119"/>
    </row>
    <row r="144" spans="1:22" ht="25" customHeight="1" thickBot="1" x14ac:dyDescent="0.4">
      <c r="A144" s="126"/>
      <c r="B144" s="141"/>
      <c r="C144" s="178"/>
      <c r="D144" s="142"/>
      <c r="E144" s="143"/>
      <c r="F144" s="143"/>
      <c r="G144" s="143"/>
      <c r="H144" s="143"/>
      <c r="I144" s="143"/>
      <c r="J144" s="143"/>
      <c r="K144" s="143"/>
      <c r="L144" s="143"/>
      <c r="M144" s="143"/>
      <c r="N144" s="207"/>
      <c r="O144" s="208"/>
      <c r="P144" s="144"/>
      <c r="Q144" s="207"/>
      <c r="R144" s="143"/>
      <c r="S144" s="189">
        <v>300000</v>
      </c>
      <c r="T144" s="189">
        <v>297000</v>
      </c>
      <c r="U144" s="191" t="s">
        <v>377</v>
      </c>
      <c r="V144" s="143"/>
    </row>
    <row r="145" spans="1:22" ht="25" customHeight="1" thickBot="1" x14ac:dyDescent="0.4">
      <c r="A145" s="215">
        <v>56009</v>
      </c>
      <c r="B145" s="216"/>
      <c r="C145" s="217"/>
      <c r="D145" s="218"/>
      <c r="E145" s="219"/>
      <c r="F145" s="219"/>
      <c r="G145" s="219"/>
      <c r="H145" s="219"/>
      <c r="I145" s="219"/>
      <c r="J145" s="219"/>
      <c r="K145" s="219"/>
      <c r="L145" s="219"/>
      <c r="M145" s="219"/>
      <c r="N145" s="220"/>
      <c r="O145" s="219"/>
      <c r="P145" s="221">
        <f>A145</f>
        <v>56009</v>
      </c>
      <c r="Q145" s="220"/>
      <c r="R145" s="219"/>
      <c r="S145" s="219"/>
      <c r="T145" s="219"/>
      <c r="U145" s="222"/>
      <c r="V145" s="219"/>
    </row>
    <row r="146" spans="1:22" ht="33" customHeight="1" x14ac:dyDescent="0.35">
      <c r="A146" s="213">
        <v>3412500</v>
      </c>
      <c r="B146" s="214" t="s">
        <v>20</v>
      </c>
      <c r="C146" s="199">
        <v>45012</v>
      </c>
      <c r="D146" s="200">
        <v>27</v>
      </c>
      <c r="E146" s="176">
        <f>3097314*10%</f>
        <v>309731.40000000002</v>
      </c>
      <c r="F146" s="176">
        <v>231489.49</v>
      </c>
      <c r="G146" s="176">
        <f>ROUND(E146-F146,)</f>
        <v>78242</v>
      </c>
      <c r="H146" s="176">
        <f>ROUND(G146*$H$5,0)</f>
        <v>14084</v>
      </c>
      <c r="I146" s="176">
        <f>G146+H146</f>
        <v>92326</v>
      </c>
      <c r="J146" s="176">
        <f t="shared" ref="J146" si="66">G146*1%</f>
        <v>782.42000000000007</v>
      </c>
      <c r="K146" s="176">
        <f t="shared" ref="K146" si="67">G146*5%</f>
        <v>3912.1000000000004</v>
      </c>
      <c r="L146" s="176">
        <f>ROUND(G146*$L$12,)</f>
        <v>0</v>
      </c>
      <c r="M146" s="176">
        <f>ROUND(G146*$M$12,)</f>
        <v>0</v>
      </c>
      <c r="N146" s="224">
        <f>H146</f>
        <v>14084</v>
      </c>
      <c r="O146" s="176">
        <f>ROUND(I146-SUM(J146:N146),0)</f>
        <v>73547</v>
      </c>
      <c r="P146" s="214"/>
      <c r="Q146" s="153">
        <v>3412500</v>
      </c>
      <c r="R146" s="175">
        <f>Q146-SUM(S146:S159)</f>
        <v>12500</v>
      </c>
      <c r="S146" s="176">
        <v>100000</v>
      </c>
      <c r="T146" s="176">
        <f>S146-1%*S146</f>
        <v>99000</v>
      </c>
      <c r="U146" s="229" t="s">
        <v>24</v>
      </c>
      <c r="V146" s="175">
        <f>SUM(O146:O159)-SUM(S146:S155)</f>
        <v>-1776480</v>
      </c>
    </row>
    <row r="147" spans="1:22" ht="36" customHeight="1" x14ac:dyDescent="0.35">
      <c r="A147" s="116"/>
      <c r="B147" s="131" t="s">
        <v>20</v>
      </c>
      <c r="C147" s="120">
        <v>45016</v>
      </c>
      <c r="D147" s="135">
        <v>35</v>
      </c>
      <c r="E147" s="121">
        <f>(3097314*20%)-E146</f>
        <v>309731.40000000002</v>
      </c>
      <c r="F147" s="121">
        <v>0</v>
      </c>
      <c r="G147" s="121">
        <f>ROUND(E147-F147,)</f>
        <v>309731</v>
      </c>
      <c r="H147" s="121">
        <f>ROUND(G147*$H$5,0)</f>
        <v>55752</v>
      </c>
      <c r="I147" s="121">
        <f>G147+H147</f>
        <v>365483</v>
      </c>
      <c r="J147" s="121">
        <f t="shared" ref="J147:J148" si="68">G147*1%</f>
        <v>3097.31</v>
      </c>
      <c r="K147" s="121">
        <f t="shared" ref="K147:K148" si="69">G147*5%</f>
        <v>15486.550000000001</v>
      </c>
      <c r="L147" s="121">
        <f>ROUND(G147*$L$12,)</f>
        <v>0</v>
      </c>
      <c r="M147" s="121">
        <f>ROUND(G147*$M$12,)</f>
        <v>0</v>
      </c>
      <c r="N147" s="196">
        <f>H147</f>
        <v>55752</v>
      </c>
      <c r="O147" s="121">
        <f>ROUND(I147-SUM(J147:N147),0)</f>
        <v>291147</v>
      </c>
      <c r="P147" s="132"/>
      <c r="Q147" s="149"/>
      <c r="R147" s="119"/>
      <c r="S147" s="121">
        <v>100000</v>
      </c>
      <c r="T147" s="121">
        <f t="shared" ref="T147:T149" si="70">S147-1%*S147</f>
        <v>99000</v>
      </c>
      <c r="U147" s="122" t="s">
        <v>26</v>
      </c>
      <c r="V147" s="119"/>
    </row>
    <row r="148" spans="1:22" ht="31.5" customHeight="1" x14ac:dyDescent="0.35">
      <c r="A148" s="116"/>
      <c r="B148" s="131" t="s">
        <v>20</v>
      </c>
      <c r="C148" s="253">
        <v>45126</v>
      </c>
      <c r="D148" s="254" t="s">
        <v>246</v>
      </c>
      <c r="E148" s="121">
        <v>682500</v>
      </c>
      <c r="F148" s="121">
        <f>433586.02+10120-63037</f>
        <v>380669.02</v>
      </c>
      <c r="G148" s="121">
        <f>ROUND(E148-F148,)</f>
        <v>301831</v>
      </c>
      <c r="H148" s="121">
        <f>ROUND(G148*$H$5,0)</f>
        <v>54330</v>
      </c>
      <c r="I148" s="121">
        <f>G148+H148</f>
        <v>356161</v>
      </c>
      <c r="J148" s="121">
        <f t="shared" si="68"/>
        <v>3018.31</v>
      </c>
      <c r="K148" s="121">
        <f t="shared" si="69"/>
        <v>15091.550000000001</v>
      </c>
      <c r="L148" s="121"/>
      <c r="M148" s="121">
        <f>ROUND(G148*$M$12,)</f>
        <v>0</v>
      </c>
      <c r="N148" s="196">
        <f>H148</f>
        <v>54330</v>
      </c>
      <c r="O148" s="121">
        <f>ROUND(I148-SUM(J148:N148),0)</f>
        <v>283721</v>
      </c>
      <c r="P148" s="131"/>
      <c r="Q148" s="149"/>
      <c r="R148" s="119"/>
      <c r="S148" s="121">
        <v>200000</v>
      </c>
      <c r="T148" s="121">
        <f t="shared" si="70"/>
        <v>198000</v>
      </c>
      <c r="U148" s="121" t="s">
        <v>118</v>
      </c>
      <c r="V148" s="119"/>
    </row>
    <row r="149" spans="1:22" ht="25" customHeight="1" x14ac:dyDescent="0.35">
      <c r="A149" s="116"/>
      <c r="B149" s="131" t="s">
        <v>29</v>
      </c>
      <c r="C149" s="253"/>
      <c r="D149" s="254">
        <v>27</v>
      </c>
      <c r="E149" s="121">
        <v>14084</v>
      </c>
      <c r="F149" s="119"/>
      <c r="G149" s="119"/>
      <c r="H149" s="117"/>
      <c r="I149" s="117"/>
      <c r="J149" s="117"/>
      <c r="K149" s="117"/>
      <c r="L149" s="117"/>
      <c r="M149" s="117"/>
      <c r="N149" s="151"/>
      <c r="O149" s="198">
        <v>14084</v>
      </c>
      <c r="P149" s="131"/>
      <c r="Q149" s="149"/>
      <c r="R149" s="119"/>
      <c r="S149" s="121">
        <v>300000</v>
      </c>
      <c r="T149" s="121">
        <f t="shared" si="70"/>
        <v>297000</v>
      </c>
      <c r="U149" s="121" t="s">
        <v>161</v>
      </c>
      <c r="V149" s="119"/>
    </row>
    <row r="150" spans="1:22" ht="25" customHeight="1" x14ac:dyDescent="0.35">
      <c r="A150" s="116"/>
      <c r="B150" s="131" t="s">
        <v>29</v>
      </c>
      <c r="C150" s="253"/>
      <c r="D150" s="254">
        <v>35</v>
      </c>
      <c r="E150" s="121">
        <v>55752</v>
      </c>
      <c r="F150" s="119"/>
      <c r="G150" s="119"/>
      <c r="H150" s="117"/>
      <c r="I150" s="117"/>
      <c r="J150" s="117"/>
      <c r="K150" s="117"/>
      <c r="L150" s="117"/>
      <c r="M150" s="117"/>
      <c r="N150" s="151"/>
      <c r="O150" s="198">
        <v>55752</v>
      </c>
      <c r="P150" s="131"/>
      <c r="Q150" s="149"/>
      <c r="R150" s="119"/>
      <c r="S150" s="121">
        <v>1000000</v>
      </c>
      <c r="T150" s="121">
        <v>950000</v>
      </c>
      <c r="U150" s="121" t="s">
        <v>225</v>
      </c>
      <c r="V150" s="119"/>
    </row>
    <row r="151" spans="1:22" ht="25" customHeight="1" x14ac:dyDescent="0.35">
      <c r="A151" s="116"/>
      <c r="B151" s="131" t="s">
        <v>29</v>
      </c>
      <c r="C151" s="253"/>
      <c r="D151" s="254" t="s">
        <v>246</v>
      </c>
      <c r="E151" s="121">
        <v>54330</v>
      </c>
      <c r="F151" s="119"/>
      <c r="G151" s="119"/>
      <c r="H151" s="117"/>
      <c r="I151" s="117"/>
      <c r="J151" s="117"/>
      <c r="K151" s="117"/>
      <c r="L151" s="117"/>
      <c r="M151" s="117"/>
      <c r="N151" s="151"/>
      <c r="O151" s="198">
        <f>E151</f>
        <v>54330</v>
      </c>
      <c r="P151" s="131"/>
      <c r="Q151" s="149"/>
      <c r="R151" s="119"/>
      <c r="S151" s="121">
        <v>200000</v>
      </c>
      <c r="T151" s="121">
        <v>198000</v>
      </c>
      <c r="U151" s="121" t="s">
        <v>312</v>
      </c>
      <c r="V151" s="119"/>
    </row>
    <row r="152" spans="1:22" ht="25" customHeight="1" x14ac:dyDescent="0.35">
      <c r="A152" s="116"/>
      <c r="B152" s="131" t="s">
        <v>20</v>
      </c>
      <c r="C152" s="253">
        <v>45237</v>
      </c>
      <c r="D152" s="254" t="s">
        <v>245</v>
      </c>
      <c r="E152" s="121">
        <v>341250</v>
      </c>
      <c r="F152" s="121">
        <v>316350</v>
      </c>
      <c r="G152" s="121">
        <f>ROUND(E152-F152,)</f>
        <v>24900</v>
      </c>
      <c r="H152" s="121">
        <f>ROUND(G152*$H$5,0)</f>
        <v>4482</v>
      </c>
      <c r="I152" s="121">
        <f>G152+H152</f>
        <v>29382</v>
      </c>
      <c r="J152" s="121">
        <f t="shared" ref="J152:J154" si="71">G152*1%</f>
        <v>249</v>
      </c>
      <c r="K152" s="121">
        <f t="shared" ref="K152:K154" si="72">G152*5%</f>
        <v>1245</v>
      </c>
      <c r="L152" s="121"/>
      <c r="M152" s="121">
        <f>ROUND(G152*$M$12,)</f>
        <v>0</v>
      </c>
      <c r="N152" s="255">
        <f>H152</f>
        <v>4482</v>
      </c>
      <c r="O152" s="121">
        <f>ROUND(I152-SUM(J152:N152),0)</f>
        <v>23406</v>
      </c>
      <c r="P152" s="131"/>
      <c r="Q152" s="149"/>
      <c r="R152" s="119"/>
      <c r="S152" s="121">
        <v>500000</v>
      </c>
      <c r="T152" s="121">
        <v>495000</v>
      </c>
      <c r="U152" s="121" t="s">
        <v>331</v>
      </c>
      <c r="V152" s="119"/>
    </row>
    <row r="153" spans="1:22" ht="25" customHeight="1" x14ac:dyDescent="0.35">
      <c r="A153" s="116"/>
      <c r="B153" s="131" t="s">
        <v>20</v>
      </c>
      <c r="C153" s="253">
        <v>45307</v>
      </c>
      <c r="D153" s="254" t="s">
        <v>276</v>
      </c>
      <c r="E153" s="121">
        <v>511875</v>
      </c>
      <c r="F153" s="121">
        <v>510547</v>
      </c>
      <c r="G153" s="121">
        <f>ROUND(E153-F153,)</f>
        <v>1328</v>
      </c>
      <c r="H153" s="121">
        <f>ROUND(G153*$H$5,0)</f>
        <v>239</v>
      </c>
      <c r="I153" s="121">
        <f>G153+H153</f>
        <v>1567</v>
      </c>
      <c r="J153" s="121">
        <f t="shared" si="71"/>
        <v>13.280000000000001</v>
      </c>
      <c r="K153" s="121">
        <f t="shared" si="72"/>
        <v>66.400000000000006</v>
      </c>
      <c r="L153" s="121"/>
      <c r="M153" s="121">
        <f>ROUND(G153*$M$12,)</f>
        <v>0</v>
      </c>
      <c r="N153" s="255">
        <f>H153</f>
        <v>239</v>
      </c>
      <c r="O153" s="121">
        <f>ROUND(I153-SUM(J153:N153),0)</f>
        <v>1248</v>
      </c>
      <c r="P153" s="131"/>
      <c r="Q153" s="149"/>
      <c r="R153" s="119"/>
      <c r="S153" s="121">
        <v>500000</v>
      </c>
      <c r="T153" s="121">
        <v>495000</v>
      </c>
      <c r="U153" s="121" t="s">
        <v>343</v>
      </c>
      <c r="V153" s="119"/>
    </row>
    <row r="154" spans="1:22" ht="25" customHeight="1" x14ac:dyDescent="0.35">
      <c r="A154" s="116"/>
      <c r="B154" s="131" t="s">
        <v>272</v>
      </c>
      <c r="C154" s="120">
        <v>45789</v>
      </c>
      <c r="D154" s="254" t="s">
        <v>487</v>
      </c>
      <c r="E154" s="121">
        <v>139054.6</v>
      </c>
      <c r="F154" s="121"/>
      <c r="G154" s="121">
        <f>ROUND(E154-F154,)</f>
        <v>139055</v>
      </c>
      <c r="H154" s="121">
        <f>ROUND(G154*$H$5,0)</f>
        <v>25030</v>
      </c>
      <c r="I154" s="121">
        <f>G154+H154</f>
        <v>164085</v>
      </c>
      <c r="J154" s="121">
        <f t="shared" si="71"/>
        <v>1390.55</v>
      </c>
      <c r="K154" s="121">
        <f t="shared" si="72"/>
        <v>6952.75</v>
      </c>
      <c r="L154" s="121"/>
      <c r="M154" s="121">
        <f>ROUND(G154*$M$12,)</f>
        <v>0</v>
      </c>
      <c r="N154" s="255">
        <f>H154</f>
        <v>25030</v>
      </c>
      <c r="O154" s="121">
        <f>ROUND(I154-SUM(J154:N154),0)</f>
        <v>130712</v>
      </c>
      <c r="P154" s="177"/>
      <c r="Q154" s="149"/>
      <c r="R154" s="119"/>
      <c r="S154" s="121">
        <v>300000</v>
      </c>
      <c r="T154" s="121">
        <v>297000</v>
      </c>
      <c r="U154" s="121" t="s">
        <v>352</v>
      </c>
      <c r="V154" s="119"/>
    </row>
    <row r="155" spans="1:22" ht="25" customHeight="1" x14ac:dyDescent="0.35">
      <c r="A155" s="116"/>
      <c r="B155" s="131" t="s">
        <v>29</v>
      </c>
      <c r="C155" s="253"/>
      <c r="D155" s="254">
        <v>21</v>
      </c>
      <c r="E155" s="121">
        <f>N154</f>
        <v>25030</v>
      </c>
      <c r="F155" s="119"/>
      <c r="G155" s="119"/>
      <c r="H155" s="117"/>
      <c r="I155" s="117"/>
      <c r="J155" s="117"/>
      <c r="K155" s="117"/>
      <c r="L155" s="117"/>
      <c r="M155" s="117"/>
      <c r="N155" s="151"/>
      <c r="O155" s="198">
        <f>E155</f>
        <v>25030</v>
      </c>
      <c r="P155" s="131"/>
      <c r="Q155" s="149"/>
      <c r="R155" s="119"/>
      <c r="S155" s="121">
        <v>200000</v>
      </c>
      <c r="T155" s="121">
        <v>198000</v>
      </c>
      <c r="U155" s="121" t="s">
        <v>403</v>
      </c>
      <c r="V155" s="119"/>
    </row>
    <row r="156" spans="1:22" ht="25" customHeight="1" x14ac:dyDescent="0.35">
      <c r="A156" s="116"/>
      <c r="B156" s="131" t="s">
        <v>29</v>
      </c>
      <c r="C156" s="253"/>
      <c r="D156" s="254">
        <v>11</v>
      </c>
      <c r="E156" s="121">
        <f>N152</f>
        <v>4482</v>
      </c>
      <c r="F156" s="119"/>
      <c r="G156" s="119"/>
      <c r="H156" s="117"/>
      <c r="I156" s="117"/>
      <c r="J156" s="117"/>
      <c r="K156" s="117"/>
      <c r="L156" s="117"/>
      <c r="M156" s="117"/>
      <c r="N156" s="151"/>
      <c r="O156" s="198">
        <f>E156</f>
        <v>4482</v>
      </c>
      <c r="P156" s="131"/>
      <c r="Q156" s="149"/>
      <c r="R156" s="119"/>
      <c r="S156" s="119"/>
      <c r="T156" s="119"/>
      <c r="U156" s="119"/>
      <c r="V156" s="119"/>
    </row>
    <row r="157" spans="1:22" ht="25" customHeight="1" x14ac:dyDescent="0.35">
      <c r="A157" s="116"/>
      <c r="B157" s="131" t="s">
        <v>29</v>
      </c>
      <c r="C157" s="253"/>
      <c r="D157" s="254" t="s">
        <v>276</v>
      </c>
      <c r="E157" s="121">
        <f>N153</f>
        <v>239</v>
      </c>
      <c r="F157" s="119"/>
      <c r="G157" s="119"/>
      <c r="H157" s="117"/>
      <c r="I157" s="117"/>
      <c r="J157" s="117"/>
      <c r="K157" s="117"/>
      <c r="L157" s="117"/>
      <c r="M157" s="117"/>
      <c r="N157" s="151"/>
      <c r="O157" s="198">
        <f>E157</f>
        <v>239</v>
      </c>
      <c r="P157" s="131"/>
      <c r="Q157" s="149"/>
      <c r="R157" s="119"/>
      <c r="S157" s="119"/>
      <c r="T157" s="119"/>
      <c r="U157" s="119"/>
      <c r="V157" s="119"/>
    </row>
    <row r="158" spans="1:22" ht="25" customHeight="1" x14ac:dyDescent="0.35">
      <c r="A158" s="116"/>
      <c r="B158" s="131" t="s">
        <v>20</v>
      </c>
      <c r="C158" s="253">
        <v>45636</v>
      </c>
      <c r="D158" s="254">
        <v>101</v>
      </c>
      <c r="E158" s="121">
        <v>784875</v>
      </c>
      <c r="F158" s="121">
        <v>190391</v>
      </c>
      <c r="G158" s="121">
        <f>ROUND(E158-F158,)</f>
        <v>594484</v>
      </c>
      <c r="H158" s="121">
        <f>ROUND(G158*$H$5,0)</f>
        <v>107007</v>
      </c>
      <c r="I158" s="121">
        <f>G158+H158</f>
        <v>701491</v>
      </c>
      <c r="J158" s="121">
        <f t="shared" ref="J158" si="73">G158*1%</f>
        <v>5944.84</v>
      </c>
      <c r="K158" s="121">
        <f t="shared" ref="K158" si="74">G158*5%</f>
        <v>29724.2</v>
      </c>
      <c r="L158" s="121"/>
      <c r="M158" s="121">
        <v>0</v>
      </c>
      <c r="N158" s="255">
        <f>H158</f>
        <v>107007</v>
      </c>
      <c r="O158" s="121">
        <f>ROUND(I158-SUM(J158:N158),0)</f>
        <v>558815</v>
      </c>
      <c r="P158" s="131"/>
      <c r="Q158" s="149"/>
      <c r="R158" s="119"/>
      <c r="S158" s="119"/>
      <c r="T158" s="119"/>
      <c r="U158" s="119"/>
      <c r="V158" s="119"/>
    </row>
    <row r="159" spans="1:22" ht="25" customHeight="1" thickBot="1" x14ac:dyDescent="0.4">
      <c r="A159" s="126"/>
      <c r="B159" s="144" t="s">
        <v>29</v>
      </c>
      <c r="C159" s="192"/>
      <c r="D159" s="193">
        <v>101</v>
      </c>
      <c r="E159" s="189">
        <f>N158</f>
        <v>107007</v>
      </c>
      <c r="F159" s="143"/>
      <c r="G159" s="143"/>
      <c r="H159" s="143"/>
      <c r="I159" s="143"/>
      <c r="J159" s="143"/>
      <c r="K159" s="143"/>
      <c r="L159" s="143"/>
      <c r="M159" s="143"/>
      <c r="N159" s="207"/>
      <c r="O159" s="228">
        <f>E159</f>
        <v>107007</v>
      </c>
      <c r="P159" s="144"/>
      <c r="Q159" s="207"/>
      <c r="R159" s="143"/>
      <c r="S159" s="143"/>
      <c r="T159" s="143"/>
      <c r="U159" s="143"/>
      <c r="V159" s="143"/>
    </row>
    <row r="160" spans="1:22" ht="25" customHeight="1" thickBot="1" x14ac:dyDescent="0.4">
      <c r="A160" s="215">
        <v>59284</v>
      </c>
      <c r="B160" s="216"/>
      <c r="C160" s="217"/>
      <c r="D160" s="218"/>
      <c r="E160" s="219"/>
      <c r="F160" s="219"/>
      <c r="G160" s="219"/>
      <c r="H160" s="219"/>
      <c r="I160" s="219"/>
      <c r="J160" s="219"/>
      <c r="K160" s="219"/>
      <c r="L160" s="219"/>
      <c r="M160" s="219"/>
      <c r="N160" s="220"/>
      <c r="O160" s="219"/>
      <c r="P160" s="221">
        <f>A160</f>
        <v>59284</v>
      </c>
      <c r="Q160" s="220"/>
      <c r="R160" s="219"/>
      <c r="S160" s="219"/>
      <c r="T160" s="219"/>
      <c r="U160" s="222"/>
      <c r="V160" s="219"/>
    </row>
    <row r="161" spans="1:22" ht="25" customHeight="1" x14ac:dyDescent="0.35">
      <c r="A161" s="213">
        <v>2610000</v>
      </c>
      <c r="B161" s="172" t="s">
        <v>192</v>
      </c>
      <c r="C161" s="199">
        <v>45183</v>
      </c>
      <c r="D161" s="256">
        <v>88230</v>
      </c>
      <c r="E161" s="176">
        <v>130500</v>
      </c>
      <c r="F161" s="176">
        <v>0</v>
      </c>
      <c r="G161" s="176">
        <f>ROUND(E161-F161,)</f>
        <v>130500</v>
      </c>
      <c r="H161" s="176">
        <f>ROUND(G161*$H$5,0)</f>
        <v>23490</v>
      </c>
      <c r="I161" s="176">
        <f>G161+H161</f>
        <v>153990</v>
      </c>
      <c r="J161" s="176">
        <f t="shared" ref="J161:J163" si="75">G161*1%</f>
        <v>1305</v>
      </c>
      <c r="K161" s="176">
        <f t="shared" ref="K161:K163" si="76">G161*5%</f>
        <v>6525</v>
      </c>
      <c r="L161" s="176">
        <f>ROUND(G161*$L$12,)</f>
        <v>0</v>
      </c>
      <c r="M161" s="176"/>
      <c r="N161" s="224">
        <f>H161</f>
        <v>23490</v>
      </c>
      <c r="O161" s="176">
        <f>ROUND(I161-SUM(J161:N161),0)</f>
        <v>122670</v>
      </c>
      <c r="P161" s="214"/>
      <c r="Q161" s="153">
        <v>2610000</v>
      </c>
      <c r="R161" s="175">
        <f>Q161-SUM(S161:S168)</f>
        <v>10000</v>
      </c>
      <c r="S161" s="176">
        <v>150000</v>
      </c>
      <c r="T161" s="176">
        <f>S161-1%*S161</f>
        <v>148500</v>
      </c>
      <c r="U161" s="229" t="s">
        <v>143</v>
      </c>
      <c r="V161" s="175">
        <f>SUM(O161:O168)-SUM(S161:S168)</f>
        <v>-1621000</v>
      </c>
    </row>
    <row r="162" spans="1:22" ht="25" customHeight="1" x14ac:dyDescent="0.35">
      <c r="A162" s="116"/>
      <c r="B162" s="117"/>
      <c r="C162" s="120">
        <v>45222</v>
      </c>
      <c r="D162" s="135" t="s">
        <v>248</v>
      </c>
      <c r="E162" s="121">
        <v>261000</v>
      </c>
      <c r="F162" s="121">
        <v>148437</v>
      </c>
      <c r="G162" s="121">
        <f>ROUND(E162-F162,)</f>
        <v>112563</v>
      </c>
      <c r="H162" s="121">
        <f>ROUND(G162*$H$5,0)</f>
        <v>20261</v>
      </c>
      <c r="I162" s="121">
        <f>G162+H162</f>
        <v>132824</v>
      </c>
      <c r="J162" s="121">
        <f t="shared" si="75"/>
        <v>1125.6300000000001</v>
      </c>
      <c r="K162" s="121">
        <f t="shared" si="76"/>
        <v>5628.1500000000005</v>
      </c>
      <c r="L162" s="121">
        <f>ROUND(G162*$L$12,)</f>
        <v>0</v>
      </c>
      <c r="M162" s="121">
        <v>0</v>
      </c>
      <c r="N162" s="196">
        <f>H162</f>
        <v>20261</v>
      </c>
      <c r="O162" s="121">
        <f>ROUND(I162-SUM(J162:N162),0)</f>
        <v>105809</v>
      </c>
      <c r="P162" s="131"/>
      <c r="Q162" s="149"/>
      <c r="R162" s="119"/>
      <c r="S162" s="121">
        <v>150000</v>
      </c>
      <c r="T162" s="121">
        <f>S162-1%*S162</f>
        <v>148500</v>
      </c>
      <c r="U162" s="122" t="s">
        <v>157</v>
      </c>
      <c r="V162" s="119"/>
    </row>
    <row r="163" spans="1:22" ht="25" customHeight="1" x14ac:dyDescent="0.35">
      <c r="A163" s="116"/>
      <c r="B163" s="117"/>
      <c r="C163" s="120">
        <v>45222</v>
      </c>
      <c r="D163" s="135" t="s">
        <v>247</v>
      </c>
      <c r="E163" s="121">
        <f>652500</f>
        <v>652500</v>
      </c>
      <c r="F163" s="121">
        <f>154644.168+19030</f>
        <v>173674.16800000001</v>
      </c>
      <c r="G163" s="121">
        <f>ROUND(E163-F163,)</f>
        <v>478826</v>
      </c>
      <c r="H163" s="121">
        <f>ROUND(G163*$H$5,0)</f>
        <v>86189</v>
      </c>
      <c r="I163" s="121">
        <f>G163+H163</f>
        <v>565015</v>
      </c>
      <c r="J163" s="121">
        <f t="shared" si="75"/>
        <v>4788.26</v>
      </c>
      <c r="K163" s="121">
        <f t="shared" si="76"/>
        <v>23941.300000000003</v>
      </c>
      <c r="L163" s="121">
        <f>ROUND(G163*$L$12,)</f>
        <v>0</v>
      </c>
      <c r="M163" s="121">
        <v>0</v>
      </c>
      <c r="N163" s="196">
        <f>H163</f>
        <v>86189</v>
      </c>
      <c r="O163" s="121">
        <f>ROUND(I163-SUM(J163:N163),0)</f>
        <v>450096</v>
      </c>
      <c r="P163" s="131"/>
      <c r="Q163" s="149"/>
      <c r="R163" s="119"/>
      <c r="S163" s="121">
        <v>500000</v>
      </c>
      <c r="T163" s="121">
        <v>475000</v>
      </c>
      <c r="U163" s="122" t="s">
        <v>209</v>
      </c>
      <c r="V163" s="119"/>
    </row>
    <row r="164" spans="1:22" ht="25" customHeight="1" x14ac:dyDescent="0.35">
      <c r="A164" s="116"/>
      <c r="B164" s="117" t="s">
        <v>29</v>
      </c>
      <c r="C164" s="120"/>
      <c r="D164" s="135" t="s">
        <v>247</v>
      </c>
      <c r="E164" s="121">
        <f>N163</f>
        <v>86189</v>
      </c>
      <c r="F164" s="119"/>
      <c r="G164" s="119"/>
      <c r="H164" s="119"/>
      <c r="I164" s="119"/>
      <c r="J164" s="119"/>
      <c r="K164" s="119"/>
      <c r="L164" s="119"/>
      <c r="M164" s="119"/>
      <c r="N164" s="149"/>
      <c r="O164" s="198">
        <f>E164</f>
        <v>86189</v>
      </c>
      <c r="P164" s="131"/>
      <c r="Q164" s="149"/>
      <c r="R164" s="119"/>
      <c r="S164" s="121">
        <v>500000</v>
      </c>
      <c r="T164" s="121">
        <v>475000</v>
      </c>
      <c r="U164" s="122" t="s">
        <v>220</v>
      </c>
      <c r="V164" s="119"/>
    </row>
    <row r="165" spans="1:22" ht="25" customHeight="1" x14ac:dyDescent="0.35">
      <c r="A165" s="116"/>
      <c r="B165" s="117" t="s">
        <v>29</v>
      </c>
      <c r="C165" s="120"/>
      <c r="D165" s="135" t="s">
        <v>248</v>
      </c>
      <c r="E165" s="121">
        <f>N162</f>
        <v>20261</v>
      </c>
      <c r="F165" s="119"/>
      <c r="G165" s="119"/>
      <c r="H165" s="119"/>
      <c r="I165" s="119"/>
      <c r="J165" s="119"/>
      <c r="K165" s="119"/>
      <c r="L165" s="119"/>
      <c r="M165" s="119"/>
      <c r="N165" s="149"/>
      <c r="O165" s="198">
        <f>E165</f>
        <v>20261</v>
      </c>
      <c r="P165" s="131"/>
      <c r="Q165" s="149"/>
      <c r="R165" s="119"/>
      <c r="S165" s="121">
        <v>500000</v>
      </c>
      <c r="T165" s="121">
        <v>495000</v>
      </c>
      <c r="U165" s="122" t="s">
        <v>413</v>
      </c>
      <c r="V165" s="119"/>
    </row>
    <row r="166" spans="1:22" ht="25" customHeight="1" x14ac:dyDescent="0.35">
      <c r="A166" s="116"/>
      <c r="B166" s="117" t="s">
        <v>29</v>
      </c>
      <c r="C166" s="120"/>
      <c r="D166" s="225">
        <v>88230</v>
      </c>
      <c r="E166" s="121">
        <f>N161</f>
        <v>23490</v>
      </c>
      <c r="F166" s="119"/>
      <c r="G166" s="119"/>
      <c r="H166" s="119"/>
      <c r="I166" s="119"/>
      <c r="J166" s="119"/>
      <c r="K166" s="119"/>
      <c r="L166" s="119"/>
      <c r="M166" s="119"/>
      <c r="N166" s="149"/>
      <c r="O166" s="198">
        <f>E166</f>
        <v>23490</v>
      </c>
      <c r="P166" s="131"/>
      <c r="Q166" s="149"/>
      <c r="R166" s="119"/>
      <c r="S166" s="121">
        <v>400000</v>
      </c>
      <c r="T166" s="121">
        <v>396000</v>
      </c>
      <c r="U166" s="122" t="s">
        <v>277</v>
      </c>
      <c r="V166" s="119"/>
    </row>
    <row r="167" spans="1:22" ht="25" customHeight="1" x14ac:dyDescent="0.35">
      <c r="A167" s="116"/>
      <c r="B167" s="117" t="s">
        <v>272</v>
      </c>
      <c r="C167" s="120">
        <v>45792</v>
      </c>
      <c r="D167" s="135" t="s">
        <v>489</v>
      </c>
      <c r="E167" s="121">
        <v>152219.4</v>
      </c>
      <c r="F167" s="121"/>
      <c r="G167" s="121">
        <f>ROUND(E167-F167,)</f>
        <v>152219</v>
      </c>
      <c r="H167" s="121">
        <f>ROUND(G167*$H$5,0)</f>
        <v>27399</v>
      </c>
      <c r="I167" s="121">
        <f>G167+H167</f>
        <v>179618</v>
      </c>
      <c r="J167" s="121">
        <f t="shared" ref="J167" si="77">G167*1%</f>
        <v>1522.19</v>
      </c>
      <c r="K167" s="121">
        <f t="shared" ref="K167" si="78">G167*5%</f>
        <v>7610.9500000000007</v>
      </c>
      <c r="L167" s="121">
        <f>ROUND(G167*$L$12,)</f>
        <v>0</v>
      </c>
      <c r="M167" s="121">
        <v>0</v>
      </c>
      <c r="N167" s="196">
        <f>H167</f>
        <v>27399</v>
      </c>
      <c r="O167" s="121">
        <f>ROUND(I167-SUM(J167:N167),0)</f>
        <v>143086</v>
      </c>
      <c r="P167" s="177"/>
      <c r="Q167" s="149"/>
      <c r="R167" s="119"/>
      <c r="S167" s="121">
        <v>200000</v>
      </c>
      <c r="T167" s="121">
        <v>198000</v>
      </c>
      <c r="U167" s="122" t="s">
        <v>311</v>
      </c>
      <c r="V167" s="119"/>
    </row>
    <row r="168" spans="1:22" ht="25" customHeight="1" thickBot="1" x14ac:dyDescent="0.4">
      <c r="A168" s="126"/>
      <c r="B168" s="141" t="s">
        <v>29</v>
      </c>
      <c r="C168" s="192"/>
      <c r="D168" s="193">
        <v>22</v>
      </c>
      <c r="E168" s="189">
        <f>N167</f>
        <v>27399</v>
      </c>
      <c r="F168" s="143"/>
      <c r="G168" s="143"/>
      <c r="H168" s="143"/>
      <c r="I168" s="143"/>
      <c r="J168" s="143"/>
      <c r="K168" s="143"/>
      <c r="L168" s="143"/>
      <c r="M168" s="143"/>
      <c r="N168" s="207"/>
      <c r="O168" s="228">
        <f>E168</f>
        <v>27399</v>
      </c>
      <c r="P168" s="144"/>
      <c r="Q168" s="207"/>
      <c r="R168" s="143"/>
      <c r="S168" s="189">
        <v>200000</v>
      </c>
      <c r="T168" s="189">
        <v>198000</v>
      </c>
      <c r="U168" s="191" t="s">
        <v>473</v>
      </c>
      <c r="V168" s="143"/>
    </row>
    <row r="169" spans="1:22" ht="25" customHeight="1" thickBot="1" x14ac:dyDescent="0.4">
      <c r="A169" s="215">
        <v>59285</v>
      </c>
      <c r="B169" s="216"/>
      <c r="C169" s="217"/>
      <c r="D169" s="218"/>
      <c r="E169" s="219"/>
      <c r="F169" s="219"/>
      <c r="G169" s="219"/>
      <c r="H169" s="219"/>
      <c r="I169" s="219"/>
      <c r="J169" s="219"/>
      <c r="K169" s="219"/>
      <c r="L169" s="219"/>
      <c r="M169" s="219"/>
      <c r="N169" s="220"/>
      <c r="O169" s="219"/>
      <c r="P169" s="221">
        <f>A169</f>
        <v>59285</v>
      </c>
      <c r="Q169" s="220"/>
      <c r="R169" s="219"/>
      <c r="S169" s="219"/>
      <c r="T169" s="219"/>
      <c r="U169" s="222"/>
      <c r="V169" s="219"/>
    </row>
    <row r="170" spans="1:22" ht="25" customHeight="1" x14ac:dyDescent="0.35">
      <c r="A170" s="213">
        <v>3330000</v>
      </c>
      <c r="B170" s="214" t="s">
        <v>198</v>
      </c>
      <c r="C170" s="199">
        <v>45183</v>
      </c>
      <c r="D170" s="262" t="s">
        <v>251</v>
      </c>
      <c r="E170" s="176">
        <v>166500</v>
      </c>
      <c r="F170" s="176">
        <v>0</v>
      </c>
      <c r="G170" s="176">
        <f>ROUND(E170-F170,)</f>
        <v>166500</v>
      </c>
      <c r="H170" s="176">
        <f>ROUND(G170*$H$5,0)</f>
        <v>29970</v>
      </c>
      <c r="I170" s="176">
        <f>G170+H170</f>
        <v>196470</v>
      </c>
      <c r="J170" s="176">
        <f>ROUND(G170*$J$12,)</f>
        <v>0</v>
      </c>
      <c r="K170" s="176">
        <f>ROUND(G170*$K$12,)</f>
        <v>0</v>
      </c>
      <c r="L170" s="176">
        <f>ROUND(G170*$L$12,)</f>
        <v>0</v>
      </c>
      <c r="M170" s="176">
        <f>ROUND(G170*$M$12,)</f>
        <v>0</v>
      </c>
      <c r="N170" s="224">
        <f>H170</f>
        <v>29970</v>
      </c>
      <c r="O170" s="176">
        <f>ROUND(I170-SUM(J170:N170),0)</f>
        <v>166500</v>
      </c>
      <c r="P170" s="214"/>
      <c r="Q170" s="153">
        <v>3330000</v>
      </c>
      <c r="R170" s="175">
        <f>Q170-SUM(S170:S180)</f>
        <v>30000</v>
      </c>
      <c r="S170" s="176">
        <v>200000</v>
      </c>
      <c r="T170" s="176">
        <f>S170-1%*S170</f>
        <v>198000</v>
      </c>
      <c r="U170" s="229" t="s">
        <v>144</v>
      </c>
      <c r="V170" s="175">
        <f>SUM(O170:O180)-SUM(S170:S180)</f>
        <v>-1765915</v>
      </c>
    </row>
    <row r="171" spans="1:22" ht="25" customHeight="1" x14ac:dyDescent="0.35">
      <c r="A171" s="116"/>
      <c r="B171" s="131" t="s">
        <v>198</v>
      </c>
      <c r="C171" s="120">
        <v>45222</v>
      </c>
      <c r="D171" s="247" t="s">
        <v>250</v>
      </c>
      <c r="E171" s="121">
        <v>333000</v>
      </c>
      <c r="F171" s="121">
        <v>152205</v>
      </c>
      <c r="G171" s="121">
        <v>180795</v>
      </c>
      <c r="H171" s="121">
        <v>32543</v>
      </c>
      <c r="I171" s="121">
        <v>213338</v>
      </c>
      <c r="J171" s="121">
        <v>1808</v>
      </c>
      <c r="K171" s="121">
        <v>9040</v>
      </c>
      <c r="L171" s="121">
        <f>ROUND(G171*$L$12,)</f>
        <v>0</v>
      </c>
      <c r="M171" s="121"/>
      <c r="N171" s="196">
        <v>32543</v>
      </c>
      <c r="O171" s="121">
        <f>ROUND(I171-SUM(J171:N171),0)</f>
        <v>169947</v>
      </c>
      <c r="P171" s="131"/>
      <c r="Q171" s="149"/>
      <c r="R171" s="119"/>
      <c r="S171" s="121">
        <v>200000</v>
      </c>
      <c r="T171" s="121">
        <f>S171-1%*S171</f>
        <v>198000</v>
      </c>
      <c r="U171" s="122" t="s">
        <v>153</v>
      </c>
      <c r="V171" s="119"/>
    </row>
    <row r="172" spans="1:22" ht="25" customHeight="1" x14ac:dyDescent="0.35">
      <c r="A172" s="116"/>
      <c r="B172" s="131" t="s">
        <v>97</v>
      </c>
      <c r="C172" s="120"/>
      <c r="D172" s="135" t="s">
        <v>251</v>
      </c>
      <c r="E172" s="121">
        <f>N170</f>
        <v>29970</v>
      </c>
      <c r="F172" s="119"/>
      <c r="G172" s="119"/>
      <c r="H172" s="119"/>
      <c r="I172" s="119"/>
      <c r="J172" s="119">
        <v>0</v>
      </c>
      <c r="K172" s="119">
        <v>0</v>
      </c>
      <c r="L172" s="119">
        <f>ROUND(G172*$L$12,)</f>
        <v>0</v>
      </c>
      <c r="M172" s="119">
        <v>0</v>
      </c>
      <c r="N172" s="149"/>
      <c r="O172" s="198">
        <f>E172</f>
        <v>29970</v>
      </c>
      <c r="P172" s="133"/>
      <c r="Q172" s="149"/>
      <c r="R172" s="119"/>
      <c r="S172" s="121">
        <v>200000</v>
      </c>
      <c r="T172" s="121">
        <v>198000</v>
      </c>
      <c r="U172" s="122" t="s">
        <v>205</v>
      </c>
      <c r="V172" s="119"/>
    </row>
    <row r="173" spans="1:22" ht="25" customHeight="1" x14ac:dyDescent="0.35">
      <c r="A173" s="116"/>
      <c r="B173" s="131" t="s">
        <v>97</v>
      </c>
      <c r="C173" s="120"/>
      <c r="D173" s="247" t="s">
        <v>250</v>
      </c>
      <c r="E173" s="121">
        <f>N171</f>
        <v>32543</v>
      </c>
      <c r="F173" s="119"/>
      <c r="G173" s="119"/>
      <c r="H173" s="119"/>
      <c r="I173" s="119"/>
      <c r="J173" s="119"/>
      <c r="K173" s="119"/>
      <c r="L173" s="119"/>
      <c r="M173" s="119"/>
      <c r="N173" s="149"/>
      <c r="O173" s="198">
        <f>E173</f>
        <v>32543</v>
      </c>
      <c r="P173" s="133"/>
      <c r="Q173" s="149"/>
      <c r="R173" s="119"/>
      <c r="S173" s="121">
        <v>200000</v>
      </c>
      <c r="T173" s="121">
        <v>190000</v>
      </c>
      <c r="U173" s="122" t="s">
        <v>215</v>
      </c>
      <c r="V173" s="119"/>
    </row>
    <row r="174" spans="1:22" ht="25" customHeight="1" x14ac:dyDescent="0.35">
      <c r="A174" s="116"/>
      <c r="B174" s="131" t="s">
        <v>272</v>
      </c>
      <c r="C174" s="120">
        <v>45789</v>
      </c>
      <c r="D174" s="135" t="s">
        <v>490</v>
      </c>
      <c r="E174" s="121">
        <v>181004.3</v>
      </c>
      <c r="F174" s="121"/>
      <c r="G174" s="121">
        <f>ROUND(E174-F174,)</f>
        <v>181004</v>
      </c>
      <c r="H174" s="121">
        <f>ROUND(G174*$H$5,0)</f>
        <v>32581</v>
      </c>
      <c r="I174" s="121">
        <f>G174+H174</f>
        <v>213585</v>
      </c>
      <c r="J174" s="121">
        <f>ROUND(G174*$J$5,)</f>
        <v>1810</v>
      </c>
      <c r="K174" s="121">
        <f>ROUND(G174*$K$5,)</f>
        <v>9050</v>
      </c>
      <c r="L174" s="121">
        <f>ROUND(G174*$L$12,)</f>
        <v>0</v>
      </c>
      <c r="M174" s="121">
        <f>ROUND(G174*$M$12,)</f>
        <v>0</v>
      </c>
      <c r="N174" s="196">
        <f>H174</f>
        <v>32581</v>
      </c>
      <c r="O174" s="121">
        <f>ROUND(I174-SUM(J174:N174),0)</f>
        <v>170144</v>
      </c>
      <c r="P174" s="177"/>
      <c r="Q174" s="149"/>
      <c r="R174" s="119"/>
      <c r="S174" s="121">
        <v>600000</v>
      </c>
      <c r="T174" s="121">
        <v>570000</v>
      </c>
      <c r="U174" s="122" t="s">
        <v>232</v>
      </c>
      <c r="V174" s="119"/>
    </row>
    <row r="175" spans="1:22" ht="25" customHeight="1" x14ac:dyDescent="0.35">
      <c r="A175" s="116"/>
      <c r="B175" s="131" t="s">
        <v>97</v>
      </c>
      <c r="C175" s="120"/>
      <c r="D175" s="135">
        <v>20</v>
      </c>
      <c r="E175" s="121">
        <f>N174</f>
        <v>32581</v>
      </c>
      <c r="F175" s="119"/>
      <c r="G175" s="119"/>
      <c r="H175" s="119"/>
      <c r="I175" s="119"/>
      <c r="J175" s="119"/>
      <c r="K175" s="119"/>
      <c r="L175" s="119"/>
      <c r="M175" s="119"/>
      <c r="N175" s="149"/>
      <c r="O175" s="198">
        <f>E175</f>
        <v>32581</v>
      </c>
      <c r="P175" s="133"/>
      <c r="Q175" s="149"/>
      <c r="R175" s="119"/>
      <c r="S175" s="121">
        <v>500000</v>
      </c>
      <c r="T175" s="121">
        <v>495000</v>
      </c>
      <c r="U175" s="122" t="s">
        <v>249</v>
      </c>
      <c r="V175" s="119"/>
    </row>
    <row r="176" spans="1:22" ht="25" customHeight="1" x14ac:dyDescent="0.35">
      <c r="A176" s="116"/>
      <c r="B176" s="131" t="s">
        <v>198</v>
      </c>
      <c r="C176" s="120">
        <v>45639</v>
      </c>
      <c r="D176" s="247">
        <v>103</v>
      </c>
      <c r="E176" s="121">
        <v>832500</v>
      </c>
      <c r="F176" s="121">
        <v>0</v>
      </c>
      <c r="G176" s="121">
        <f>ROUND(E176-F176,)</f>
        <v>832500</v>
      </c>
      <c r="H176" s="121">
        <f>ROUND(G176*$H$5,0)</f>
        <v>149850</v>
      </c>
      <c r="I176" s="121">
        <f>G176+H176</f>
        <v>982350</v>
      </c>
      <c r="J176" s="121">
        <f t="shared" ref="J176" si="79">G176*1%</f>
        <v>8325</v>
      </c>
      <c r="K176" s="121">
        <f t="shared" ref="K176" si="80">G176*5%</f>
        <v>41625</v>
      </c>
      <c r="L176" s="121">
        <f>ROUND(G176*$L$12,)</f>
        <v>0</v>
      </c>
      <c r="M176" s="121">
        <v>0</v>
      </c>
      <c r="N176" s="196">
        <f>H176</f>
        <v>149850</v>
      </c>
      <c r="O176" s="121">
        <f>ROUND(I176-SUM(J176:N176),0)</f>
        <v>782550</v>
      </c>
      <c r="P176" s="133"/>
      <c r="Q176" s="149"/>
      <c r="R176" s="119"/>
      <c r="S176" s="121">
        <v>200000</v>
      </c>
      <c r="T176" s="121">
        <v>198000</v>
      </c>
      <c r="U176" s="122" t="s">
        <v>269</v>
      </c>
      <c r="V176" s="119"/>
    </row>
    <row r="177" spans="1:22" ht="25" customHeight="1" x14ac:dyDescent="0.35">
      <c r="A177" s="116"/>
      <c r="B177" s="131" t="s">
        <v>97</v>
      </c>
      <c r="C177" s="120"/>
      <c r="D177" s="135">
        <v>103</v>
      </c>
      <c r="E177" s="121">
        <f>N176</f>
        <v>149850</v>
      </c>
      <c r="F177" s="119"/>
      <c r="G177" s="119"/>
      <c r="H177" s="119"/>
      <c r="I177" s="119"/>
      <c r="J177" s="119">
        <v>0</v>
      </c>
      <c r="K177" s="119">
        <v>0</v>
      </c>
      <c r="L177" s="119">
        <f>ROUND(G177*$L$12,)</f>
        <v>0</v>
      </c>
      <c r="M177" s="119">
        <v>0</v>
      </c>
      <c r="N177" s="149"/>
      <c r="O177" s="198">
        <f>E177</f>
        <v>149850</v>
      </c>
      <c r="P177" s="133"/>
      <c r="Q177" s="149"/>
      <c r="R177" s="119"/>
      <c r="S177" s="121">
        <v>500000</v>
      </c>
      <c r="T177" s="121">
        <v>495000</v>
      </c>
      <c r="U177" s="122" t="s">
        <v>291</v>
      </c>
      <c r="V177" s="119"/>
    </row>
    <row r="178" spans="1:22" ht="25" customHeight="1" x14ac:dyDescent="0.35">
      <c r="A178" s="116"/>
      <c r="B178" s="117"/>
      <c r="C178" s="114"/>
      <c r="D178" s="118"/>
      <c r="E178" s="119"/>
      <c r="F178" s="119"/>
      <c r="G178" s="119"/>
      <c r="H178" s="119"/>
      <c r="I178" s="119"/>
      <c r="J178" s="119"/>
      <c r="K178" s="119"/>
      <c r="L178" s="119"/>
      <c r="M178" s="119"/>
      <c r="N178" s="149"/>
      <c r="O178" s="119"/>
      <c r="P178" s="133"/>
      <c r="Q178" s="149"/>
      <c r="R178" s="119"/>
      <c r="S178" s="121">
        <v>300000</v>
      </c>
      <c r="T178" s="121">
        <v>297000</v>
      </c>
      <c r="U178" s="122" t="s">
        <v>308</v>
      </c>
      <c r="V178" s="119"/>
    </row>
    <row r="179" spans="1:22" ht="25" customHeight="1" x14ac:dyDescent="0.35">
      <c r="A179" s="116"/>
      <c r="B179" s="117"/>
      <c r="C179" s="114"/>
      <c r="D179" s="118"/>
      <c r="E179" s="119"/>
      <c r="F179" s="119"/>
      <c r="G179" s="119"/>
      <c r="H179" s="119"/>
      <c r="I179" s="119"/>
      <c r="J179" s="119"/>
      <c r="K179" s="119"/>
      <c r="L179" s="119"/>
      <c r="M179" s="119"/>
      <c r="N179" s="149"/>
      <c r="O179" s="119"/>
      <c r="P179" s="133"/>
      <c r="Q179" s="149"/>
      <c r="R179" s="119"/>
      <c r="S179" s="121">
        <v>200000</v>
      </c>
      <c r="T179" s="121">
        <v>198000</v>
      </c>
      <c r="U179" s="122" t="s">
        <v>338</v>
      </c>
      <c r="V179" s="119"/>
    </row>
    <row r="180" spans="1:22" ht="25" customHeight="1" thickBot="1" x14ac:dyDescent="0.4">
      <c r="A180" s="126"/>
      <c r="B180" s="141"/>
      <c r="C180" s="178"/>
      <c r="D180" s="142"/>
      <c r="E180" s="143"/>
      <c r="F180" s="143"/>
      <c r="G180" s="143"/>
      <c r="H180" s="143"/>
      <c r="I180" s="143"/>
      <c r="J180" s="143"/>
      <c r="K180" s="143"/>
      <c r="L180" s="143"/>
      <c r="M180" s="143"/>
      <c r="N180" s="207"/>
      <c r="O180" s="143"/>
      <c r="P180" s="209"/>
      <c r="Q180" s="207"/>
      <c r="R180" s="143"/>
      <c r="S180" s="189">
        <v>200000</v>
      </c>
      <c r="T180" s="189">
        <v>198000</v>
      </c>
      <c r="U180" s="191" t="s">
        <v>380</v>
      </c>
      <c r="V180" s="143"/>
    </row>
    <row r="181" spans="1:22" ht="25" customHeight="1" thickBot="1" x14ac:dyDescent="0.4">
      <c r="A181" s="215">
        <v>59286</v>
      </c>
      <c r="B181" s="216"/>
      <c r="C181" s="217"/>
      <c r="D181" s="218"/>
      <c r="E181" s="219"/>
      <c r="F181" s="219"/>
      <c r="G181" s="219"/>
      <c r="H181" s="219"/>
      <c r="I181" s="219"/>
      <c r="J181" s="219"/>
      <c r="K181" s="219"/>
      <c r="L181" s="219"/>
      <c r="M181" s="219"/>
      <c r="N181" s="220"/>
      <c r="O181" s="219"/>
      <c r="P181" s="221">
        <f>A181</f>
        <v>59286</v>
      </c>
      <c r="Q181" s="220"/>
      <c r="R181" s="219"/>
      <c r="S181" s="219"/>
      <c r="T181" s="219"/>
      <c r="U181" s="222"/>
      <c r="V181" s="219"/>
    </row>
    <row r="182" spans="1:22" ht="25" customHeight="1" x14ac:dyDescent="0.35">
      <c r="A182" s="213">
        <v>3240000</v>
      </c>
      <c r="B182" s="263" t="s">
        <v>199</v>
      </c>
      <c r="C182" s="199">
        <v>45183</v>
      </c>
      <c r="D182" s="262" t="s">
        <v>255</v>
      </c>
      <c r="E182" s="176">
        <v>162000</v>
      </c>
      <c r="F182" s="176">
        <v>0</v>
      </c>
      <c r="G182" s="176">
        <f>ROUND(E182-F182,)</f>
        <v>162000</v>
      </c>
      <c r="H182" s="176">
        <f>ROUND(G182*$H$5,0)</f>
        <v>29160</v>
      </c>
      <c r="I182" s="176">
        <f>G182+H182</f>
        <v>191160</v>
      </c>
      <c r="J182" s="176">
        <f t="shared" ref="J182:J183" si="81">G182*1%</f>
        <v>1620</v>
      </c>
      <c r="K182" s="176">
        <f t="shared" ref="K182:K183" si="82">G182*5%</f>
        <v>8100</v>
      </c>
      <c r="L182" s="176">
        <f>ROUND(G182*$L$12,)</f>
        <v>0</v>
      </c>
      <c r="M182" s="176"/>
      <c r="N182" s="224">
        <f>H182</f>
        <v>29160</v>
      </c>
      <c r="O182" s="176">
        <f>ROUND(I182-SUM(J182:N182),0)</f>
        <v>152280</v>
      </c>
      <c r="P182" s="214"/>
      <c r="Q182" s="153">
        <v>3240000</v>
      </c>
      <c r="R182" s="175">
        <f>Q182-SUM(S182:S190)</f>
        <v>40000</v>
      </c>
      <c r="S182" s="176">
        <v>150000</v>
      </c>
      <c r="T182" s="176">
        <f>S182-1%*S182</f>
        <v>148500</v>
      </c>
      <c r="U182" s="229" t="s">
        <v>145</v>
      </c>
      <c r="V182" s="175">
        <f>SUM(O182:O191)-SUM(S182:S190)</f>
        <v>-627069</v>
      </c>
    </row>
    <row r="183" spans="1:22" ht="25" customHeight="1" x14ac:dyDescent="0.35">
      <c r="A183" s="116"/>
      <c r="B183" s="264" t="s">
        <v>199</v>
      </c>
      <c r="C183" s="120">
        <v>45204</v>
      </c>
      <c r="D183" s="247" t="s">
        <v>254</v>
      </c>
      <c r="E183" s="121">
        <v>324000</v>
      </c>
      <c r="F183" s="121">
        <v>111576</v>
      </c>
      <c r="G183" s="121">
        <f>ROUND(E183-F183,)</f>
        <v>212424</v>
      </c>
      <c r="H183" s="121">
        <f>ROUND(G183*$H$5,0)</f>
        <v>38236</v>
      </c>
      <c r="I183" s="121">
        <f>G183+H183</f>
        <v>250660</v>
      </c>
      <c r="J183" s="121">
        <f t="shared" si="81"/>
        <v>2124.2400000000002</v>
      </c>
      <c r="K183" s="121">
        <f t="shared" si="82"/>
        <v>10621.2</v>
      </c>
      <c r="L183" s="121">
        <f>ROUND(G183*$L$12,)</f>
        <v>0</v>
      </c>
      <c r="M183" s="121"/>
      <c r="N183" s="196">
        <f>H183</f>
        <v>38236</v>
      </c>
      <c r="O183" s="121">
        <f>ROUND(I183-SUM(J183:N183),0)</f>
        <v>199679</v>
      </c>
      <c r="P183" s="131"/>
      <c r="Q183" s="149"/>
      <c r="R183" s="119"/>
      <c r="S183" s="121">
        <v>300000</v>
      </c>
      <c r="T183" s="121">
        <f t="shared" ref="T183:T185" si="83">S183-1%*S183</f>
        <v>297000</v>
      </c>
      <c r="U183" s="122" t="s">
        <v>148</v>
      </c>
      <c r="V183" s="119"/>
    </row>
    <row r="184" spans="1:22" ht="25" customHeight="1" x14ac:dyDescent="0.35">
      <c r="A184" s="116"/>
      <c r="B184" s="264" t="s">
        <v>97</v>
      </c>
      <c r="C184" s="120"/>
      <c r="D184" s="135">
        <v>90</v>
      </c>
      <c r="E184" s="121">
        <f>N182</f>
        <v>29160</v>
      </c>
      <c r="F184" s="119"/>
      <c r="G184" s="119"/>
      <c r="H184" s="119"/>
      <c r="I184" s="119"/>
      <c r="J184" s="119"/>
      <c r="K184" s="119"/>
      <c r="L184" s="119"/>
      <c r="M184" s="119"/>
      <c r="N184" s="149"/>
      <c r="O184" s="198">
        <f>E184</f>
        <v>29160</v>
      </c>
      <c r="P184" s="133"/>
      <c r="Q184" s="149"/>
      <c r="R184" s="119"/>
      <c r="S184" s="121">
        <v>200000</v>
      </c>
      <c r="T184" s="121">
        <f t="shared" si="83"/>
        <v>198000</v>
      </c>
      <c r="U184" s="122" t="s">
        <v>149</v>
      </c>
      <c r="V184" s="119"/>
    </row>
    <row r="185" spans="1:22" ht="25" customHeight="1" x14ac:dyDescent="0.35">
      <c r="A185" s="116"/>
      <c r="B185" s="264" t="s">
        <v>199</v>
      </c>
      <c r="C185" s="120">
        <v>45288</v>
      </c>
      <c r="D185" s="247" t="s">
        <v>253</v>
      </c>
      <c r="E185" s="121">
        <v>810000</v>
      </c>
      <c r="F185" s="121">
        <v>154255</v>
      </c>
      <c r="G185" s="121">
        <f>ROUND(E185-F185,)</f>
        <v>655745</v>
      </c>
      <c r="H185" s="121">
        <f>ROUND(G185*$H$5,0)</f>
        <v>118034</v>
      </c>
      <c r="I185" s="121">
        <f>G185+H185</f>
        <v>773779</v>
      </c>
      <c r="J185" s="121">
        <f t="shared" ref="J185" si="84">G185*1%</f>
        <v>6557.45</v>
      </c>
      <c r="K185" s="121">
        <f t="shared" ref="K185" si="85">G185*5%</f>
        <v>32787.25</v>
      </c>
      <c r="L185" s="121">
        <f>ROUND(G185*$L$12,)</f>
        <v>0</v>
      </c>
      <c r="M185" s="121"/>
      <c r="N185" s="196">
        <f>H185</f>
        <v>118034</v>
      </c>
      <c r="O185" s="121">
        <f>ROUND(I185-SUM(J185:N185),0)</f>
        <v>616400</v>
      </c>
      <c r="P185" s="133"/>
      <c r="Q185" s="149"/>
      <c r="R185" s="119"/>
      <c r="S185" s="121">
        <v>250000</v>
      </c>
      <c r="T185" s="121">
        <f t="shared" si="83"/>
        <v>247500</v>
      </c>
      <c r="U185" s="122" t="s">
        <v>167</v>
      </c>
      <c r="V185" s="119"/>
    </row>
    <row r="186" spans="1:22" ht="25" customHeight="1" x14ac:dyDescent="0.35">
      <c r="A186" s="116"/>
      <c r="B186" s="264" t="s">
        <v>97</v>
      </c>
      <c r="C186" s="266"/>
      <c r="D186" s="247" t="s">
        <v>254</v>
      </c>
      <c r="E186" s="121">
        <f>N183</f>
        <v>38236</v>
      </c>
      <c r="F186" s="119"/>
      <c r="G186" s="119"/>
      <c r="H186" s="119"/>
      <c r="I186" s="119"/>
      <c r="J186" s="119"/>
      <c r="K186" s="119"/>
      <c r="L186" s="119"/>
      <c r="M186" s="119"/>
      <c r="N186" s="149"/>
      <c r="O186" s="198">
        <f t="shared" ref="O186:O187" si="86">E186</f>
        <v>38236</v>
      </c>
      <c r="P186" s="133"/>
      <c r="Q186" s="149"/>
      <c r="R186" s="119"/>
      <c r="S186" s="121">
        <v>500000</v>
      </c>
      <c r="T186" s="121">
        <f t="shared" ref="T186" si="87">S186-1%*S186</f>
        <v>495000</v>
      </c>
      <c r="U186" s="122" t="s">
        <v>169</v>
      </c>
      <c r="V186" s="119"/>
    </row>
    <row r="187" spans="1:22" ht="25" customHeight="1" x14ac:dyDescent="0.35">
      <c r="A187" s="116"/>
      <c r="B187" s="264" t="s">
        <v>97</v>
      </c>
      <c r="C187" s="266"/>
      <c r="D187" s="247" t="s">
        <v>253</v>
      </c>
      <c r="E187" s="121">
        <f>N185</f>
        <v>118034</v>
      </c>
      <c r="F187" s="119"/>
      <c r="G187" s="119"/>
      <c r="H187" s="119"/>
      <c r="I187" s="119"/>
      <c r="J187" s="119"/>
      <c r="K187" s="119"/>
      <c r="L187" s="119"/>
      <c r="M187" s="119"/>
      <c r="N187" s="149"/>
      <c r="O187" s="198">
        <f t="shared" si="86"/>
        <v>118034</v>
      </c>
      <c r="P187" s="133"/>
      <c r="Q187" s="149"/>
      <c r="R187" s="119"/>
      <c r="S187" s="121">
        <v>500000</v>
      </c>
      <c r="T187" s="121">
        <v>475000</v>
      </c>
      <c r="U187" s="122" t="s">
        <v>224</v>
      </c>
      <c r="V187" s="119"/>
    </row>
    <row r="188" spans="1:22" ht="25" customHeight="1" x14ac:dyDescent="0.35">
      <c r="A188" s="116"/>
      <c r="B188" s="264" t="s">
        <v>272</v>
      </c>
      <c r="C188" s="120">
        <v>45795</v>
      </c>
      <c r="D188" s="247" t="s">
        <v>491</v>
      </c>
      <c r="E188" s="121">
        <v>133090.5</v>
      </c>
      <c r="F188" s="121"/>
      <c r="G188" s="121">
        <f>ROUND(E188-F188,)</f>
        <v>133091</v>
      </c>
      <c r="H188" s="121">
        <f>ROUND(G188*$H$5,0)</f>
        <v>23956</v>
      </c>
      <c r="I188" s="121">
        <f>G188+H188</f>
        <v>157047</v>
      </c>
      <c r="J188" s="121">
        <f t="shared" ref="J188" si="88">G188*1%</f>
        <v>1330.91</v>
      </c>
      <c r="K188" s="121">
        <f t="shared" ref="K188" si="89">G188*5%</f>
        <v>6654.55</v>
      </c>
      <c r="L188" s="121">
        <f>ROUND(G188*$L$12,)</f>
        <v>0</v>
      </c>
      <c r="M188" s="121"/>
      <c r="N188" s="196">
        <f>H188</f>
        <v>23956</v>
      </c>
      <c r="O188" s="121">
        <f>ROUND(I188-SUM(J188:N188),0)</f>
        <v>125106</v>
      </c>
      <c r="P188" s="177"/>
      <c r="Q188" s="149"/>
      <c r="R188" s="119"/>
      <c r="S188" s="121">
        <v>500000</v>
      </c>
      <c r="T188" s="121">
        <v>495000</v>
      </c>
      <c r="U188" s="122" t="s">
        <v>252</v>
      </c>
      <c r="V188" s="119"/>
    </row>
    <row r="189" spans="1:22" ht="25" customHeight="1" x14ac:dyDescent="0.35">
      <c r="A189" s="116"/>
      <c r="B189" s="264" t="s">
        <v>97</v>
      </c>
      <c r="C189" s="266"/>
      <c r="D189" s="247">
        <v>24</v>
      </c>
      <c r="E189" s="121">
        <f>N188</f>
        <v>23956</v>
      </c>
      <c r="F189" s="119"/>
      <c r="G189" s="119"/>
      <c r="H189" s="119"/>
      <c r="I189" s="119"/>
      <c r="J189" s="119"/>
      <c r="K189" s="119"/>
      <c r="L189" s="119"/>
      <c r="M189" s="119"/>
      <c r="N189" s="149"/>
      <c r="O189" s="198">
        <f>E189</f>
        <v>23956</v>
      </c>
      <c r="P189" s="133"/>
      <c r="Q189" s="149"/>
      <c r="R189" s="119"/>
      <c r="S189" s="121">
        <v>500000</v>
      </c>
      <c r="T189" s="121">
        <v>495000</v>
      </c>
      <c r="U189" s="122" t="s">
        <v>278</v>
      </c>
      <c r="V189" s="119"/>
    </row>
    <row r="190" spans="1:22" ht="25" customHeight="1" x14ac:dyDescent="0.35">
      <c r="A190" s="116"/>
      <c r="B190" s="264" t="s">
        <v>199</v>
      </c>
      <c r="C190" s="120">
        <v>45288</v>
      </c>
      <c r="D190" s="247">
        <v>105</v>
      </c>
      <c r="E190" s="121">
        <v>1134000</v>
      </c>
      <c r="F190" s="121">
        <v>0</v>
      </c>
      <c r="G190" s="121">
        <f>ROUND(E190-F190,)</f>
        <v>1134000</v>
      </c>
      <c r="H190" s="121">
        <f>ROUND(G190*$H$5,0)</f>
        <v>204120</v>
      </c>
      <c r="I190" s="121">
        <f>G190+H190</f>
        <v>1338120</v>
      </c>
      <c r="J190" s="121">
        <f t="shared" ref="J190" si="90">G190*1%</f>
        <v>11340</v>
      </c>
      <c r="K190" s="121">
        <f t="shared" ref="K190" si="91">G190*5%</f>
        <v>56700</v>
      </c>
      <c r="L190" s="121">
        <f>ROUND(G190*$L$12,)</f>
        <v>0</v>
      </c>
      <c r="M190" s="121"/>
      <c r="N190" s="196">
        <f>H190</f>
        <v>204120</v>
      </c>
      <c r="O190" s="121">
        <f>ROUND(I190-SUM(J190:N190),0)</f>
        <v>1065960</v>
      </c>
      <c r="P190" s="133"/>
      <c r="Q190" s="149"/>
      <c r="R190" s="119"/>
      <c r="S190" s="121">
        <v>300000</v>
      </c>
      <c r="T190" s="121">
        <v>297000</v>
      </c>
      <c r="U190" s="122" t="s">
        <v>376</v>
      </c>
      <c r="V190" s="119"/>
    </row>
    <row r="191" spans="1:22" ht="25" customHeight="1" thickBot="1" x14ac:dyDescent="0.4">
      <c r="A191" s="126"/>
      <c r="B191" s="265" t="s">
        <v>243</v>
      </c>
      <c r="C191" s="192"/>
      <c r="D191" s="267">
        <v>105</v>
      </c>
      <c r="E191" s="189">
        <f>N190</f>
        <v>204120</v>
      </c>
      <c r="F191" s="143"/>
      <c r="G191" s="143"/>
      <c r="H191" s="143"/>
      <c r="I191" s="143"/>
      <c r="J191" s="143"/>
      <c r="K191" s="143"/>
      <c r="L191" s="143"/>
      <c r="M191" s="143"/>
      <c r="N191" s="207"/>
      <c r="O191" s="228">
        <f>E191</f>
        <v>204120</v>
      </c>
      <c r="P191" s="209"/>
      <c r="Q191" s="207"/>
      <c r="R191" s="143"/>
      <c r="S191" s="143"/>
      <c r="T191" s="186"/>
      <c r="U191" s="232"/>
      <c r="V191" s="143"/>
    </row>
    <row r="192" spans="1:22" ht="25" customHeight="1" thickBot="1" x14ac:dyDescent="0.4">
      <c r="A192" s="215">
        <v>59784</v>
      </c>
      <c r="B192" s="216"/>
      <c r="C192" s="217"/>
      <c r="D192" s="218"/>
      <c r="E192" s="219"/>
      <c r="F192" s="219"/>
      <c r="G192" s="219"/>
      <c r="H192" s="219"/>
      <c r="I192" s="219"/>
      <c r="J192" s="219"/>
      <c r="K192" s="219"/>
      <c r="L192" s="219"/>
      <c r="M192" s="219"/>
      <c r="N192" s="220"/>
      <c r="O192" s="219"/>
      <c r="P192" s="221">
        <f>A192</f>
        <v>59784</v>
      </c>
      <c r="Q192" s="220"/>
      <c r="R192" s="219"/>
      <c r="S192" s="219"/>
      <c r="T192" s="219"/>
      <c r="U192" s="222"/>
      <c r="V192" s="219"/>
    </row>
    <row r="193" spans="1:22" ht="25" customHeight="1" x14ac:dyDescent="0.35">
      <c r="A193" s="213">
        <v>3863750</v>
      </c>
      <c r="B193" s="214" t="s">
        <v>197</v>
      </c>
      <c r="C193" s="199">
        <v>45213</v>
      </c>
      <c r="D193" s="200" t="s">
        <v>256</v>
      </c>
      <c r="E193" s="176">
        <v>579562</v>
      </c>
      <c r="F193" s="176">
        <v>313299</v>
      </c>
      <c r="G193" s="176">
        <f>ROUND(E193-F193,)</f>
        <v>266263</v>
      </c>
      <c r="H193" s="176">
        <f>G193*18%</f>
        <v>47927.34</v>
      </c>
      <c r="I193" s="176">
        <f>G193+H193</f>
        <v>314190.33999999997</v>
      </c>
      <c r="J193" s="176">
        <f t="shared" ref="J193" si="92">G193*1%</f>
        <v>2662.63</v>
      </c>
      <c r="K193" s="176">
        <f t="shared" ref="K193" si="93">G193*5%</f>
        <v>13313.150000000001</v>
      </c>
      <c r="L193" s="176">
        <f>ROUND(G193*$L$12,)</f>
        <v>0</v>
      </c>
      <c r="M193" s="176">
        <f>ROUND(G193*$M$12,)</f>
        <v>0</v>
      </c>
      <c r="N193" s="224">
        <f>H193</f>
        <v>47927.34</v>
      </c>
      <c r="O193" s="176">
        <f>ROUND(I193-SUM(J193:N193),0)</f>
        <v>250287</v>
      </c>
      <c r="P193" s="214"/>
      <c r="Q193" s="153">
        <v>3670562.5</v>
      </c>
      <c r="R193" s="175">
        <f>Q193-SUM(S193:S201)</f>
        <v>20562.5</v>
      </c>
      <c r="S193" s="176">
        <v>250000</v>
      </c>
      <c r="T193" s="176">
        <f>S193-1%*S193</f>
        <v>247500</v>
      </c>
      <c r="U193" s="229" t="s">
        <v>146</v>
      </c>
      <c r="V193" s="175">
        <f>SUM(O193:O201)-SUM(S193:S201)</f>
        <v>-3351785.66</v>
      </c>
    </row>
    <row r="194" spans="1:22" ht="25" customHeight="1" x14ac:dyDescent="0.35">
      <c r="A194" s="116">
        <f>A193*95%</f>
        <v>3670562.5</v>
      </c>
      <c r="B194" s="131" t="s">
        <v>243</v>
      </c>
      <c r="C194" s="120"/>
      <c r="D194" s="247" t="s">
        <v>256</v>
      </c>
      <c r="E194" s="121">
        <f>N193</f>
        <v>47927.34</v>
      </c>
      <c r="F194" s="119"/>
      <c r="G194" s="119"/>
      <c r="H194" s="119"/>
      <c r="I194" s="119"/>
      <c r="J194" s="119"/>
      <c r="K194" s="119"/>
      <c r="L194" s="119"/>
      <c r="M194" s="119"/>
      <c r="N194" s="149"/>
      <c r="O194" s="198">
        <f>E194</f>
        <v>47927.34</v>
      </c>
      <c r="P194" s="131"/>
      <c r="Q194" s="149"/>
      <c r="R194" s="119"/>
      <c r="S194" s="121">
        <v>500000</v>
      </c>
      <c r="T194" s="121">
        <f>S194-1%*S194</f>
        <v>495000</v>
      </c>
      <c r="U194" s="122" t="s">
        <v>168</v>
      </c>
      <c r="V194" s="119"/>
    </row>
    <row r="195" spans="1:22" ht="25" customHeight="1" x14ac:dyDescent="0.35">
      <c r="A195" s="116"/>
      <c r="B195" s="117"/>
      <c r="C195" s="114"/>
      <c r="D195" s="137"/>
      <c r="E195" s="119"/>
      <c r="F195" s="119"/>
      <c r="G195" s="119"/>
      <c r="H195" s="119"/>
      <c r="I195" s="119"/>
      <c r="J195" s="119"/>
      <c r="K195" s="119"/>
      <c r="L195" s="119"/>
      <c r="M195" s="119"/>
      <c r="N195" s="149"/>
      <c r="O195" s="119"/>
      <c r="P195" s="131"/>
      <c r="Q195" s="149"/>
      <c r="R195" s="119"/>
      <c r="S195" s="121">
        <v>500000</v>
      </c>
      <c r="T195" s="121">
        <v>475000</v>
      </c>
      <c r="U195" s="122" t="s">
        <v>219</v>
      </c>
      <c r="V195" s="119"/>
    </row>
    <row r="196" spans="1:22" ht="25" customHeight="1" x14ac:dyDescent="0.35">
      <c r="A196" s="116"/>
      <c r="B196" s="117"/>
      <c r="C196" s="114"/>
      <c r="D196" s="137"/>
      <c r="E196" s="119"/>
      <c r="F196" s="119"/>
      <c r="G196" s="119"/>
      <c r="H196" s="119"/>
      <c r="I196" s="119"/>
      <c r="J196" s="119"/>
      <c r="K196" s="119"/>
      <c r="L196" s="119"/>
      <c r="M196" s="119"/>
      <c r="N196" s="149"/>
      <c r="O196" s="119"/>
      <c r="P196" s="131"/>
      <c r="Q196" s="149"/>
      <c r="R196" s="119"/>
      <c r="S196" s="121">
        <v>1000000</v>
      </c>
      <c r="T196" s="121">
        <v>990000</v>
      </c>
      <c r="U196" s="122" t="s">
        <v>230</v>
      </c>
      <c r="V196" s="119"/>
    </row>
    <row r="197" spans="1:22" ht="25" customHeight="1" x14ac:dyDescent="0.35">
      <c r="A197" s="116"/>
      <c r="B197" s="117"/>
      <c r="C197" s="114"/>
      <c r="D197" s="137"/>
      <c r="E197" s="119"/>
      <c r="F197" s="119"/>
      <c r="G197" s="119"/>
      <c r="H197" s="119"/>
      <c r="I197" s="119"/>
      <c r="J197" s="119"/>
      <c r="K197" s="119"/>
      <c r="L197" s="119"/>
      <c r="M197" s="119"/>
      <c r="N197" s="149"/>
      <c r="O197" s="119"/>
      <c r="P197" s="131"/>
      <c r="Q197" s="149"/>
      <c r="R197" s="119"/>
      <c r="S197" s="121">
        <v>500000</v>
      </c>
      <c r="T197" s="121">
        <v>495000</v>
      </c>
      <c r="U197" s="122" t="s">
        <v>279</v>
      </c>
      <c r="V197" s="119"/>
    </row>
    <row r="198" spans="1:22" ht="25" customHeight="1" x14ac:dyDescent="0.35">
      <c r="A198" s="116"/>
      <c r="B198" s="117"/>
      <c r="C198" s="114"/>
      <c r="D198" s="137"/>
      <c r="E198" s="119"/>
      <c r="F198" s="119"/>
      <c r="G198" s="119"/>
      <c r="H198" s="119"/>
      <c r="I198" s="119"/>
      <c r="J198" s="119"/>
      <c r="K198" s="119"/>
      <c r="L198" s="119"/>
      <c r="M198" s="119"/>
      <c r="N198" s="149"/>
      <c r="O198" s="119"/>
      <c r="P198" s="131"/>
      <c r="Q198" s="149"/>
      <c r="R198" s="119"/>
      <c r="S198" s="121">
        <v>200000</v>
      </c>
      <c r="T198" s="121">
        <v>198000</v>
      </c>
      <c r="U198" s="268" t="s">
        <v>304</v>
      </c>
      <c r="V198" s="119"/>
    </row>
    <row r="199" spans="1:22" ht="25" customHeight="1" x14ac:dyDescent="0.35">
      <c r="A199" s="116"/>
      <c r="B199" s="117"/>
      <c r="C199" s="114"/>
      <c r="D199" s="137"/>
      <c r="E199" s="119"/>
      <c r="F199" s="119"/>
      <c r="G199" s="119"/>
      <c r="H199" s="119"/>
      <c r="I199" s="119"/>
      <c r="J199" s="119"/>
      <c r="K199" s="119"/>
      <c r="L199" s="119"/>
      <c r="M199" s="119"/>
      <c r="N199" s="149"/>
      <c r="O199" s="119"/>
      <c r="P199" s="131"/>
      <c r="Q199" s="149"/>
      <c r="R199" s="119"/>
      <c r="S199" s="121">
        <v>300000</v>
      </c>
      <c r="T199" s="121">
        <v>297000</v>
      </c>
      <c r="U199" s="122" t="s">
        <v>307</v>
      </c>
      <c r="V199" s="119"/>
    </row>
    <row r="200" spans="1:22" ht="25" customHeight="1" x14ac:dyDescent="0.35">
      <c r="A200" s="116"/>
      <c r="B200" s="117"/>
      <c r="C200" s="114"/>
      <c r="D200" s="137"/>
      <c r="E200" s="119"/>
      <c r="F200" s="119"/>
      <c r="G200" s="119"/>
      <c r="H200" s="119"/>
      <c r="I200" s="119"/>
      <c r="J200" s="119"/>
      <c r="K200" s="119"/>
      <c r="L200" s="119"/>
      <c r="M200" s="119"/>
      <c r="N200" s="149"/>
      <c r="O200" s="119"/>
      <c r="P200" s="131"/>
      <c r="Q200" s="149"/>
      <c r="R200" s="119"/>
      <c r="S200" s="121">
        <v>200000</v>
      </c>
      <c r="T200" s="121">
        <v>198000</v>
      </c>
      <c r="U200" s="122" t="s">
        <v>378</v>
      </c>
      <c r="V200" s="119"/>
    </row>
    <row r="201" spans="1:22" ht="25" customHeight="1" thickBot="1" x14ac:dyDescent="0.4">
      <c r="A201" s="126"/>
      <c r="B201" s="141"/>
      <c r="C201" s="178"/>
      <c r="D201" s="237"/>
      <c r="E201" s="143"/>
      <c r="F201" s="143"/>
      <c r="G201" s="143"/>
      <c r="H201" s="143"/>
      <c r="I201" s="143"/>
      <c r="J201" s="143"/>
      <c r="K201" s="143"/>
      <c r="L201" s="143"/>
      <c r="M201" s="143"/>
      <c r="N201" s="207"/>
      <c r="O201" s="143"/>
      <c r="P201" s="144"/>
      <c r="Q201" s="207"/>
      <c r="R201" s="143"/>
      <c r="S201" s="189">
        <v>200000</v>
      </c>
      <c r="T201" s="189">
        <v>198000</v>
      </c>
      <c r="U201" s="191" t="s">
        <v>404</v>
      </c>
      <c r="V201" s="143"/>
    </row>
    <row r="202" spans="1:22" ht="25" customHeight="1" thickBot="1" x14ac:dyDescent="0.4">
      <c r="A202" s="215">
        <v>59987</v>
      </c>
      <c r="B202" s="216"/>
      <c r="C202" s="217"/>
      <c r="D202" s="218"/>
      <c r="E202" s="219"/>
      <c r="F202" s="219"/>
      <c r="G202" s="219"/>
      <c r="H202" s="219"/>
      <c r="I202" s="219"/>
      <c r="J202" s="219"/>
      <c r="K202" s="219"/>
      <c r="L202" s="219"/>
      <c r="M202" s="219"/>
      <c r="N202" s="220"/>
      <c r="O202" s="219"/>
      <c r="P202" s="221">
        <f>A202</f>
        <v>59987</v>
      </c>
      <c r="Q202" s="220"/>
      <c r="R202" s="219"/>
      <c r="S202" s="219"/>
      <c r="T202" s="219"/>
      <c r="U202" s="222"/>
      <c r="V202" s="219"/>
    </row>
    <row r="203" spans="1:22" ht="25" customHeight="1" x14ac:dyDescent="0.35">
      <c r="A203" s="213">
        <v>4192500</v>
      </c>
      <c r="B203" s="214" t="s">
        <v>195</v>
      </c>
      <c r="C203" s="199">
        <v>45222</v>
      </c>
      <c r="D203" s="200" t="s">
        <v>258</v>
      </c>
      <c r="E203" s="176">
        <v>628875</v>
      </c>
      <c r="F203" s="176">
        <v>297324</v>
      </c>
      <c r="G203" s="176">
        <f>ROUND(E203-F203,)</f>
        <v>331551</v>
      </c>
      <c r="H203" s="176">
        <f>G203*18%</f>
        <v>59679.18</v>
      </c>
      <c r="I203" s="176">
        <f>G203+H203</f>
        <v>391230.18</v>
      </c>
      <c r="J203" s="176">
        <f t="shared" ref="J203" si="94">G203*1%</f>
        <v>3315.51</v>
      </c>
      <c r="K203" s="176">
        <f t="shared" ref="K203" si="95">G203*5%</f>
        <v>16577.55</v>
      </c>
      <c r="L203" s="176">
        <f>ROUND(G203*$L$12,)</f>
        <v>0</v>
      </c>
      <c r="M203" s="176">
        <v>0</v>
      </c>
      <c r="N203" s="224">
        <f>H203</f>
        <v>59679.18</v>
      </c>
      <c r="O203" s="176">
        <f>G203-J203-K203</f>
        <v>311657.94</v>
      </c>
      <c r="P203" s="214"/>
      <c r="Q203" s="153">
        <v>4192500</v>
      </c>
      <c r="R203" s="175">
        <f>Q203-SUM(S203:S214)</f>
        <v>92500</v>
      </c>
      <c r="S203" s="176">
        <v>300000</v>
      </c>
      <c r="T203" s="176">
        <f>S203-1%*S203</f>
        <v>297000</v>
      </c>
      <c r="U203" s="229" t="s">
        <v>154</v>
      </c>
      <c r="V203" s="175">
        <f>SUM(O203:O214)-SUM(S203:S214)</f>
        <v>-1146082.8799999999</v>
      </c>
    </row>
    <row r="204" spans="1:22" ht="25" customHeight="1" x14ac:dyDescent="0.35">
      <c r="A204" s="116"/>
      <c r="B204" s="131" t="s">
        <v>243</v>
      </c>
      <c r="C204" s="120"/>
      <c r="D204" s="135" t="s">
        <v>258</v>
      </c>
      <c r="E204" s="121">
        <f>N203</f>
        <v>59679.18</v>
      </c>
      <c r="F204" s="119"/>
      <c r="G204" s="119"/>
      <c r="H204" s="119"/>
      <c r="I204" s="119"/>
      <c r="J204" s="119"/>
      <c r="K204" s="119"/>
      <c r="L204" s="119"/>
      <c r="M204" s="119"/>
      <c r="N204" s="149"/>
      <c r="O204" s="198">
        <f>E204</f>
        <v>59679.18</v>
      </c>
      <c r="P204" s="131"/>
      <c r="Q204" s="149"/>
      <c r="R204" s="119"/>
      <c r="S204" s="121">
        <v>300000</v>
      </c>
      <c r="T204" s="121">
        <f>S204-1%*S204</f>
        <v>297000</v>
      </c>
      <c r="U204" s="122" t="s">
        <v>155</v>
      </c>
      <c r="V204" s="119"/>
    </row>
    <row r="205" spans="1:22" ht="25" customHeight="1" x14ac:dyDescent="0.35">
      <c r="A205" s="116"/>
      <c r="B205" s="131" t="s">
        <v>195</v>
      </c>
      <c r="C205" s="120">
        <v>45636</v>
      </c>
      <c r="D205" s="135">
        <v>100</v>
      </c>
      <c r="E205" s="121">
        <v>2305875</v>
      </c>
      <c r="F205" s="121">
        <v>0</v>
      </c>
      <c r="G205" s="121">
        <f>E205-F205</f>
        <v>2305875</v>
      </c>
      <c r="H205" s="121">
        <f>G205*18%</f>
        <v>415057.5</v>
      </c>
      <c r="I205" s="121">
        <f>G205+H205</f>
        <v>2720932.5</v>
      </c>
      <c r="J205" s="121">
        <f>G205*1%</f>
        <v>23058.75</v>
      </c>
      <c r="K205" s="121">
        <f>G205*5%</f>
        <v>115293.75</v>
      </c>
      <c r="L205" s="121"/>
      <c r="M205" s="121"/>
      <c r="N205" s="196">
        <f>H205</f>
        <v>415057.5</v>
      </c>
      <c r="O205" s="121">
        <f>I205-SUM(J205:N205)</f>
        <v>2167522.5</v>
      </c>
      <c r="P205" s="131"/>
      <c r="Q205" s="149"/>
      <c r="R205" s="119"/>
      <c r="S205" s="121">
        <v>200000</v>
      </c>
      <c r="T205" s="121">
        <v>198000</v>
      </c>
      <c r="U205" s="122" t="s">
        <v>412</v>
      </c>
      <c r="V205" s="119"/>
    </row>
    <row r="206" spans="1:22" ht="25" customHeight="1" x14ac:dyDescent="0.35">
      <c r="A206" s="116"/>
      <c r="B206" s="131" t="s">
        <v>243</v>
      </c>
      <c r="C206" s="120"/>
      <c r="D206" s="135">
        <v>100</v>
      </c>
      <c r="E206" s="121">
        <f>N205</f>
        <v>415057.5</v>
      </c>
      <c r="F206" s="119"/>
      <c r="G206" s="119"/>
      <c r="H206" s="119"/>
      <c r="I206" s="119"/>
      <c r="J206" s="119"/>
      <c r="K206" s="119"/>
      <c r="L206" s="119"/>
      <c r="M206" s="119"/>
      <c r="N206" s="149"/>
      <c r="O206" s="198">
        <f>E206</f>
        <v>415057.5</v>
      </c>
      <c r="P206" s="131"/>
      <c r="Q206" s="149"/>
      <c r="R206" s="119"/>
      <c r="S206" s="121">
        <v>500000</v>
      </c>
      <c r="T206" s="121">
        <v>475000</v>
      </c>
      <c r="U206" s="122" t="s">
        <v>213</v>
      </c>
      <c r="V206" s="119"/>
    </row>
    <row r="207" spans="1:22" ht="25" customHeight="1" x14ac:dyDescent="0.35">
      <c r="A207" s="116"/>
      <c r="B207" s="117"/>
      <c r="C207" s="114"/>
      <c r="D207" s="118"/>
      <c r="E207" s="119"/>
      <c r="F207" s="119"/>
      <c r="G207" s="119"/>
      <c r="H207" s="119"/>
      <c r="I207" s="119"/>
      <c r="J207" s="119"/>
      <c r="K207" s="119"/>
      <c r="L207" s="119"/>
      <c r="M207" s="119"/>
      <c r="N207" s="149"/>
      <c r="O207" s="119"/>
      <c r="P207" s="131"/>
      <c r="Q207" s="149"/>
      <c r="R207" s="119"/>
      <c r="S207" s="121">
        <v>500000</v>
      </c>
      <c r="T207" s="121">
        <v>495000</v>
      </c>
      <c r="U207" s="122" t="s">
        <v>257</v>
      </c>
      <c r="V207" s="119"/>
    </row>
    <row r="208" spans="1:22" ht="25" customHeight="1" x14ac:dyDescent="0.35">
      <c r="A208" s="116"/>
      <c r="B208" s="117"/>
      <c r="C208" s="114"/>
      <c r="D208" s="118"/>
      <c r="E208" s="119"/>
      <c r="F208" s="119"/>
      <c r="G208" s="119"/>
      <c r="H208" s="119"/>
      <c r="I208" s="119"/>
      <c r="J208" s="119"/>
      <c r="K208" s="119"/>
      <c r="L208" s="119"/>
      <c r="M208" s="119"/>
      <c r="N208" s="149"/>
      <c r="O208" s="119"/>
      <c r="P208" s="131"/>
      <c r="Q208" s="149"/>
      <c r="R208" s="119"/>
      <c r="S208" s="121">
        <v>300000</v>
      </c>
      <c r="T208" s="121">
        <v>297000</v>
      </c>
      <c r="U208" s="122" t="s">
        <v>268</v>
      </c>
      <c r="V208" s="119"/>
    </row>
    <row r="209" spans="1:22" ht="25" customHeight="1" x14ac:dyDescent="0.35">
      <c r="A209" s="116"/>
      <c r="B209" s="117"/>
      <c r="C209" s="114"/>
      <c r="D209" s="118"/>
      <c r="E209" s="119"/>
      <c r="F209" s="119"/>
      <c r="G209" s="119"/>
      <c r="H209" s="119"/>
      <c r="I209" s="119"/>
      <c r="J209" s="119"/>
      <c r="K209" s="119"/>
      <c r="L209" s="119"/>
      <c r="M209" s="119"/>
      <c r="N209" s="149"/>
      <c r="O209" s="119"/>
      <c r="P209" s="131"/>
      <c r="Q209" s="149"/>
      <c r="R209" s="119"/>
      <c r="S209" s="121">
        <v>500000</v>
      </c>
      <c r="T209" s="121">
        <v>495000</v>
      </c>
      <c r="U209" s="122" t="s">
        <v>292</v>
      </c>
      <c r="V209" s="119"/>
    </row>
    <row r="210" spans="1:22" ht="25" customHeight="1" x14ac:dyDescent="0.35">
      <c r="A210" s="116"/>
      <c r="B210" s="117"/>
      <c r="C210" s="114"/>
      <c r="D210" s="118"/>
      <c r="E210" s="119"/>
      <c r="F210" s="119"/>
      <c r="G210" s="119"/>
      <c r="H210" s="119"/>
      <c r="I210" s="119"/>
      <c r="J210" s="119"/>
      <c r="K210" s="119"/>
      <c r="L210" s="119"/>
      <c r="M210" s="119"/>
      <c r="N210" s="149"/>
      <c r="O210" s="119"/>
      <c r="P210" s="131"/>
      <c r="Q210" s="149"/>
      <c r="R210" s="119"/>
      <c r="S210" s="121">
        <v>500000</v>
      </c>
      <c r="T210" s="121">
        <v>495000</v>
      </c>
      <c r="U210" s="122" t="s">
        <v>411</v>
      </c>
      <c r="V210" s="119"/>
    </row>
    <row r="211" spans="1:22" ht="25" customHeight="1" x14ac:dyDescent="0.35">
      <c r="A211" s="116"/>
      <c r="B211" s="117"/>
      <c r="C211" s="114"/>
      <c r="D211" s="118"/>
      <c r="E211" s="119"/>
      <c r="F211" s="119"/>
      <c r="G211" s="119"/>
      <c r="H211" s="119"/>
      <c r="I211" s="119"/>
      <c r="J211" s="119"/>
      <c r="K211" s="119"/>
      <c r="L211" s="119"/>
      <c r="M211" s="119"/>
      <c r="N211" s="149"/>
      <c r="O211" s="119"/>
      <c r="P211" s="131"/>
      <c r="Q211" s="149"/>
      <c r="R211" s="119"/>
      <c r="S211" s="121">
        <v>200000</v>
      </c>
      <c r="T211" s="121">
        <v>198000</v>
      </c>
      <c r="U211" s="122" t="s">
        <v>322</v>
      </c>
      <c r="V211" s="119"/>
    </row>
    <row r="212" spans="1:22" ht="25" customHeight="1" x14ac:dyDescent="0.35">
      <c r="A212" s="116"/>
      <c r="B212" s="117"/>
      <c r="C212" s="114"/>
      <c r="D212" s="118"/>
      <c r="E212" s="119"/>
      <c r="F212" s="119"/>
      <c r="G212" s="119"/>
      <c r="H212" s="119"/>
      <c r="I212" s="119"/>
      <c r="J212" s="119"/>
      <c r="K212" s="119"/>
      <c r="L212" s="119"/>
      <c r="M212" s="119"/>
      <c r="N212" s="149"/>
      <c r="O212" s="119"/>
      <c r="P212" s="131"/>
      <c r="Q212" s="149"/>
      <c r="R212" s="119"/>
      <c r="S212" s="121">
        <v>500000</v>
      </c>
      <c r="T212" s="121">
        <v>495000</v>
      </c>
      <c r="U212" s="122" t="s">
        <v>337</v>
      </c>
      <c r="V212" s="119"/>
    </row>
    <row r="213" spans="1:22" ht="25" customHeight="1" x14ac:dyDescent="0.35">
      <c r="A213" s="116"/>
      <c r="B213" s="117"/>
      <c r="C213" s="114"/>
      <c r="D213" s="118"/>
      <c r="E213" s="119"/>
      <c r="F213" s="119"/>
      <c r="G213" s="119"/>
      <c r="H213" s="119"/>
      <c r="I213" s="119"/>
      <c r="J213" s="119"/>
      <c r="K213" s="119"/>
      <c r="L213" s="119"/>
      <c r="M213" s="119"/>
      <c r="N213" s="149"/>
      <c r="O213" s="119"/>
      <c r="P213" s="131"/>
      <c r="Q213" s="149"/>
      <c r="R213" s="119"/>
      <c r="S213" s="121">
        <v>200000</v>
      </c>
      <c r="T213" s="121">
        <v>198000</v>
      </c>
      <c r="U213" s="122" t="s">
        <v>339</v>
      </c>
      <c r="V213" s="119"/>
    </row>
    <row r="214" spans="1:22" ht="25" customHeight="1" thickBot="1" x14ac:dyDescent="0.4">
      <c r="A214" s="126"/>
      <c r="B214" s="141"/>
      <c r="C214" s="178"/>
      <c r="D214" s="142"/>
      <c r="E214" s="143"/>
      <c r="F214" s="143"/>
      <c r="G214" s="143"/>
      <c r="H214" s="143"/>
      <c r="I214" s="143"/>
      <c r="J214" s="143"/>
      <c r="K214" s="143"/>
      <c r="L214" s="143"/>
      <c r="M214" s="143"/>
      <c r="N214" s="207"/>
      <c r="O214" s="143"/>
      <c r="P214" s="144"/>
      <c r="Q214" s="207"/>
      <c r="R214" s="143"/>
      <c r="S214" s="189">
        <v>100000</v>
      </c>
      <c r="T214" s="189">
        <v>99000</v>
      </c>
      <c r="U214" s="191" t="s">
        <v>385</v>
      </c>
      <c r="V214" s="143"/>
    </row>
    <row r="215" spans="1:22" ht="25" customHeight="1" thickBot="1" x14ac:dyDescent="0.4">
      <c r="A215" s="215">
        <v>60117</v>
      </c>
      <c r="B215" s="216"/>
      <c r="C215" s="217"/>
      <c r="D215" s="218"/>
      <c r="E215" s="219"/>
      <c r="F215" s="219"/>
      <c r="G215" s="219"/>
      <c r="H215" s="219"/>
      <c r="I215" s="219"/>
      <c r="J215" s="219"/>
      <c r="K215" s="219"/>
      <c r="L215" s="219"/>
      <c r="M215" s="219"/>
      <c r="N215" s="220"/>
      <c r="O215" s="219"/>
      <c r="P215" s="221">
        <f>A215</f>
        <v>60117</v>
      </c>
      <c r="Q215" s="220"/>
      <c r="R215" s="219"/>
      <c r="S215" s="219"/>
      <c r="T215" s="219"/>
      <c r="U215" s="222"/>
      <c r="V215" s="219"/>
    </row>
    <row r="216" spans="1:22" ht="25" customHeight="1" x14ac:dyDescent="0.35">
      <c r="A216" s="213">
        <v>3150000</v>
      </c>
      <c r="B216" s="214" t="s">
        <v>191</v>
      </c>
      <c r="C216" s="199">
        <v>45237</v>
      </c>
      <c r="D216" s="200" t="s">
        <v>237</v>
      </c>
      <c r="E216" s="176">
        <v>472500</v>
      </c>
      <c r="F216" s="176">
        <v>241465</v>
      </c>
      <c r="G216" s="176">
        <f>E216-F216</f>
        <v>231035</v>
      </c>
      <c r="H216" s="176">
        <f>G216*18%</f>
        <v>41586.299999999996</v>
      </c>
      <c r="I216" s="176">
        <f>G216+H216</f>
        <v>272621.3</v>
      </c>
      <c r="J216" s="176">
        <f>G216*1%</f>
        <v>2310.35</v>
      </c>
      <c r="K216" s="176">
        <f>G216*5%</f>
        <v>11551.75</v>
      </c>
      <c r="L216" s="176"/>
      <c r="M216" s="176">
        <f>G216*10%</f>
        <v>23103.5</v>
      </c>
      <c r="N216" s="224">
        <f>G216*18%</f>
        <v>41586.299999999996</v>
      </c>
      <c r="O216" s="176">
        <f>G216-J216-K216-M216</f>
        <v>194069.4</v>
      </c>
      <c r="P216" s="214"/>
      <c r="Q216" s="153">
        <v>3150000</v>
      </c>
      <c r="R216" s="175">
        <f>Q216-SUM(S216:S227)</f>
        <v>50000</v>
      </c>
      <c r="S216" s="176">
        <v>100000</v>
      </c>
      <c r="T216" s="176">
        <f>S216-1%*S216</f>
        <v>99000</v>
      </c>
      <c r="U216" s="229" t="s">
        <v>156</v>
      </c>
      <c r="V216" s="175">
        <f>SUM(O216:O227)-SUM(S216:S227)</f>
        <v>-1288403.5</v>
      </c>
    </row>
    <row r="217" spans="1:22" ht="25" customHeight="1" x14ac:dyDescent="0.35">
      <c r="A217" s="116">
        <v>2677500</v>
      </c>
      <c r="B217" s="131" t="s">
        <v>243</v>
      </c>
      <c r="C217" s="120"/>
      <c r="D217" s="135" t="s">
        <v>237</v>
      </c>
      <c r="E217" s="121">
        <f>N216</f>
        <v>41586.299999999996</v>
      </c>
      <c r="F217" s="119"/>
      <c r="G217" s="119"/>
      <c r="H217" s="119"/>
      <c r="I217" s="119"/>
      <c r="J217" s="119"/>
      <c r="K217" s="119"/>
      <c r="L217" s="119"/>
      <c r="M217" s="119"/>
      <c r="N217" s="149"/>
      <c r="O217" s="198">
        <f>E217</f>
        <v>41586.299999999996</v>
      </c>
      <c r="P217" s="131"/>
      <c r="Q217" s="149"/>
      <c r="R217" s="119"/>
      <c r="S217" s="121">
        <v>100000</v>
      </c>
      <c r="T217" s="121">
        <f>S217-1%*S217</f>
        <v>99000</v>
      </c>
      <c r="U217" s="122" t="s">
        <v>158</v>
      </c>
      <c r="V217" s="119"/>
    </row>
    <row r="218" spans="1:22" ht="25" customHeight="1" x14ac:dyDescent="0.35">
      <c r="A218" s="116"/>
      <c r="B218" s="131" t="s">
        <v>272</v>
      </c>
      <c r="C218" s="120">
        <v>45796</v>
      </c>
      <c r="D218" s="135" t="s">
        <v>492</v>
      </c>
      <c r="E218" s="121">
        <v>147090</v>
      </c>
      <c r="F218" s="121"/>
      <c r="G218" s="121">
        <f>E218-F218</f>
        <v>147090</v>
      </c>
      <c r="H218" s="121">
        <f>G218*18%</f>
        <v>26476.2</v>
      </c>
      <c r="I218" s="121">
        <f>G218+H218</f>
        <v>173566.2</v>
      </c>
      <c r="J218" s="121">
        <f>G218*1%</f>
        <v>1470.9</v>
      </c>
      <c r="K218" s="121">
        <f>G218*5%</f>
        <v>7354.5</v>
      </c>
      <c r="L218" s="121"/>
      <c r="M218" s="121">
        <v>0</v>
      </c>
      <c r="N218" s="196">
        <f>G218*18%</f>
        <v>26476.2</v>
      </c>
      <c r="O218" s="121">
        <f>G218-J218-K218-M218</f>
        <v>138264.6</v>
      </c>
      <c r="P218" s="177"/>
      <c r="Q218" s="149"/>
      <c r="R218" s="119"/>
      <c r="S218" s="121">
        <v>500000</v>
      </c>
      <c r="T218" s="121">
        <f>S218-1%*S218</f>
        <v>495000</v>
      </c>
      <c r="U218" s="122" t="s">
        <v>176</v>
      </c>
      <c r="V218" s="119"/>
    </row>
    <row r="219" spans="1:22" ht="25" customHeight="1" x14ac:dyDescent="0.35">
      <c r="A219" s="116"/>
      <c r="B219" s="131" t="s">
        <v>243</v>
      </c>
      <c r="C219" s="120"/>
      <c r="D219" s="135">
        <v>27</v>
      </c>
      <c r="E219" s="121">
        <f>N218</f>
        <v>26476.2</v>
      </c>
      <c r="F219" s="119"/>
      <c r="G219" s="119"/>
      <c r="H219" s="119"/>
      <c r="I219" s="119"/>
      <c r="J219" s="119"/>
      <c r="K219" s="119"/>
      <c r="L219" s="119"/>
      <c r="M219" s="119"/>
      <c r="N219" s="149"/>
      <c r="O219" s="198">
        <f>E219</f>
        <v>26476.2</v>
      </c>
      <c r="P219" s="131"/>
      <c r="Q219" s="149"/>
      <c r="R219" s="119"/>
      <c r="S219" s="121">
        <v>300000</v>
      </c>
      <c r="T219" s="121">
        <v>297000</v>
      </c>
      <c r="U219" s="122" t="s">
        <v>190</v>
      </c>
      <c r="V219" s="119"/>
    </row>
    <row r="220" spans="1:22" ht="25" customHeight="1" x14ac:dyDescent="0.35">
      <c r="A220" s="116"/>
      <c r="B220" s="131" t="s">
        <v>191</v>
      </c>
      <c r="C220" s="120">
        <v>45237</v>
      </c>
      <c r="D220" s="135">
        <v>104</v>
      </c>
      <c r="E220" s="121">
        <v>1260000</v>
      </c>
      <c r="F220" s="121">
        <v>0</v>
      </c>
      <c r="G220" s="121">
        <f>E220-F220</f>
        <v>1260000</v>
      </c>
      <c r="H220" s="121">
        <f>G220*18%</f>
        <v>226800</v>
      </c>
      <c r="I220" s="121">
        <f>G220+H220</f>
        <v>1486800</v>
      </c>
      <c r="J220" s="121">
        <f>G220*1%</f>
        <v>12600</v>
      </c>
      <c r="K220" s="121">
        <f>G220*5%</f>
        <v>63000</v>
      </c>
      <c r="L220" s="121"/>
      <c r="M220" s="121">
        <v>0</v>
      </c>
      <c r="N220" s="196">
        <f>G220*18%</f>
        <v>226800</v>
      </c>
      <c r="O220" s="121">
        <f>G220-J220-K220-M220</f>
        <v>1184400</v>
      </c>
      <c r="P220" s="131"/>
      <c r="Q220" s="149"/>
      <c r="R220" s="119"/>
      <c r="S220" s="121">
        <v>200000</v>
      </c>
      <c r="T220" s="121">
        <v>190000</v>
      </c>
      <c r="U220" s="122" t="s">
        <v>218</v>
      </c>
      <c r="V220" s="119"/>
    </row>
    <row r="221" spans="1:22" ht="25" customHeight="1" x14ac:dyDescent="0.35">
      <c r="A221" s="116"/>
      <c r="B221" s="131" t="s">
        <v>243</v>
      </c>
      <c r="C221" s="120"/>
      <c r="D221" s="135">
        <v>104</v>
      </c>
      <c r="E221" s="121">
        <f>N220</f>
        <v>226800</v>
      </c>
      <c r="F221" s="119"/>
      <c r="G221" s="119"/>
      <c r="H221" s="119"/>
      <c r="I221" s="119"/>
      <c r="J221" s="119"/>
      <c r="K221" s="119"/>
      <c r="L221" s="119"/>
      <c r="M221" s="119"/>
      <c r="N221" s="149"/>
      <c r="O221" s="198">
        <f>E221</f>
        <v>226800</v>
      </c>
      <c r="P221" s="131"/>
      <c r="Q221" s="149"/>
      <c r="R221" s="119"/>
      <c r="S221" s="121">
        <v>500000</v>
      </c>
      <c r="T221" s="121">
        <v>495000</v>
      </c>
      <c r="U221" s="122" t="s">
        <v>236</v>
      </c>
      <c r="V221" s="119"/>
    </row>
    <row r="222" spans="1:22" ht="25" customHeight="1" x14ac:dyDescent="0.35">
      <c r="A222" s="116"/>
      <c r="B222" s="117"/>
      <c r="C222" s="114"/>
      <c r="D222" s="118"/>
      <c r="E222" s="119"/>
      <c r="F222" s="119"/>
      <c r="G222" s="119"/>
      <c r="H222" s="119"/>
      <c r="I222" s="119"/>
      <c r="J222" s="119"/>
      <c r="K222" s="119"/>
      <c r="L222" s="119"/>
      <c r="M222" s="119"/>
      <c r="N222" s="149"/>
      <c r="O222" s="119"/>
      <c r="P222" s="131"/>
      <c r="Q222" s="149"/>
      <c r="R222" s="119"/>
      <c r="S222" s="121">
        <v>300000</v>
      </c>
      <c r="T222" s="121">
        <v>297000</v>
      </c>
      <c r="U222" s="122" t="s">
        <v>267</v>
      </c>
      <c r="V222" s="119"/>
    </row>
    <row r="223" spans="1:22" ht="25" customHeight="1" x14ac:dyDescent="0.35">
      <c r="A223" s="116"/>
      <c r="B223" s="117"/>
      <c r="C223" s="114"/>
      <c r="D223" s="118"/>
      <c r="E223" s="119"/>
      <c r="F223" s="119"/>
      <c r="G223" s="119"/>
      <c r="H223" s="119"/>
      <c r="I223" s="119"/>
      <c r="J223" s="119"/>
      <c r="K223" s="119"/>
      <c r="L223" s="119"/>
      <c r="M223" s="119"/>
      <c r="N223" s="149"/>
      <c r="O223" s="119"/>
      <c r="P223" s="131"/>
      <c r="Q223" s="149"/>
      <c r="R223" s="119"/>
      <c r="S223" s="121">
        <v>200000</v>
      </c>
      <c r="T223" s="121">
        <v>198000</v>
      </c>
      <c r="U223" s="122" t="s">
        <v>294</v>
      </c>
      <c r="V223" s="119"/>
    </row>
    <row r="224" spans="1:22" ht="25" customHeight="1" x14ac:dyDescent="0.35">
      <c r="A224" s="116"/>
      <c r="B224" s="117"/>
      <c r="C224" s="114"/>
      <c r="D224" s="118"/>
      <c r="E224" s="119"/>
      <c r="F224" s="119"/>
      <c r="G224" s="119"/>
      <c r="H224" s="119"/>
      <c r="I224" s="119"/>
      <c r="J224" s="119"/>
      <c r="K224" s="119"/>
      <c r="L224" s="119"/>
      <c r="M224" s="119"/>
      <c r="N224" s="149"/>
      <c r="O224" s="119"/>
      <c r="P224" s="131"/>
      <c r="Q224" s="149"/>
      <c r="R224" s="119"/>
      <c r="S224" s="121">
        <v>300000</v>
      </c>
      <c r="T224" s="121">
        <v>297000</v>
      </c>
      <c r="U224" s="122" t="s">
        <v>335</v>
      </c>
      <c r="V224" s="119"/>
    </row>
    <row r="225" spans="1:22" ht="25" customHeight="1" x14ac:dyDescent="0.35">
      <c r="A225" s="116"/>
      <c r="B225" s="117"/>
      <c r="C225" s="114"/>
      <c r="D225" s="118"/>
      <c r="E225" s="119"/>
      <c r="F225" s="119"/>
      <c r="G225" s="119"/>
      <c r="H225" s="119"/>
      <c r="I225" s="119"/>
      <c r="J225" s="119"/>
      <c r="K225" s="119"/>
      <c r="L225" s="119"/>
      <c r="M225" s="119"/>
      <c r="N225" s="149"/>
      <c r="O225" s="119"/>
      <c r="P225" s="131"/>
      <c r="Q225" s="149"/>
      <c r="R225" s="119"/>
      <c r="S225" s="121">
        <v>300000</v>
      </c>
      <c r="T225" s="121">
        <v>297000</v>
      </c>
      <c r="U225" s="122" t="s">
        <v>336</v>
      </c>
      <c r="V225" s="119"/>
    </row>
    <row r="226" spans="1:22" ht="25" customHeight="1" x14ac:dyDescent="0.35">
      <c r="A226" s="116"/>
      <c r="B226" s="117"/>
      <c r="C226" s="114"/>
      <c r="D226" s="118"/>
      <c r="E226" s="119"/>
      <c r="F226" s="119"/>
      <c r="G226" s="119"/>
      <c r="H226" s="119"/>
      <c r="I226" s="119"/>
      <c r="J226" s="119"/>
      <c r="K226" s="119"/>
      <c r="L226" s="119"/>
      <c r="M226" s="119"/>
      <c r="N226" s="149"/>
      <c r="O226" s="119"/>
      <c r="P226" s="131"/>
      <c r="Q226" s="149"/>
      <c r="R226" s="119"/>
      <c r="S226" s="121">
        <v>200000</v>
      </c>
      <c r="T226" s="121">
        <v>198000</v>
      </c>
      <c r="U226" s="122" t="s">
        <v>340</v>
      </c>
      <c r="V226" s="119"/>
    </row>
    <row r="227" spans="1:22" ht="25" customHeight="1" thickBot="1" x14ac:dyDescent="0.4">
      <c r="A227" s="126"/>
      <c r="B227" s="141"/>
      <c r="C227" s="178"/>
      <c r="D227" s="142"/>
      <c r="E227" s="143"/>
      <c r="F227" s="143"/>
      <c r="G227" s="143"/>
      <c r="H227" s="143"/>
      <c r="I227" s="143"/>
      <c r="J227" s="143"/>
      <c r="K227" s="143"/>
      <c r="L227" s="143"/>
      <c r="M227" s="143"/>
      <c r="N227" s="207"/>
      <c r="O227" s="143"/>
      <c r="P227" s="144"/>
      <c r="Q227" s="207"/>
      <c r="R227" s="143"/>
      <c r="S227" s="189">
        <v>100000</v>
      </c>
      <c r="T227" s="189">
        <v>99000</v>
      </c>
      <c r="U227" s="191" t="s">
        <v>384</v>
      </c>
      <c r="V227" s="143"/>
    </row>
    <row r="228" spans="1:22" ht="25" customHeight="1" thickBot="1" x14ac:dyDescent="0.4">
      <c r="A228" s="215">
        <v>60810</v>
      </c>
      <c r="B228" s="216"/>
      <c r="C228" s="217"/>
      <c r="D228" s="218"/>
      <c r="E228" s="219"/>
      <c r="F228" s="219"/>
      <c r="G228" s="219"/>
      <c r="H228" s="219"/>
      <c r="I228" s="219"/>
      <c r="J228" s="219"/>
      <c r="K228" s="219"/>
      <c r="L228" s="219"/>
      <c r="M228" s="219"/>
      <c r="N228" s="220"/>
      <c r="O228" s="219"/>
      <c r="P228" s="221">
        <f>A228</f>
        <v>60810</v>
      </c>
      <c r="Q228" s="220"/>
      <c r="R228" s="219"/>
      <c r="S228" s="219"/>
      <c r="T228" s="219"/>
      <c r="U228" s="222"/>
      <c r="V228" s="219"/>
    </row>
    <row r="229" spans="1:22" ht="25" customHeight="1" x14ac:dyDescent="0.35">
      <c r="A229" s="213">
        <v>3150000</v>
      </c>
      <c r="B229" s="214" t="s">
        <v>189</v>
      </c>
      <c r="C229" s="199">
        <v>45268</v>
      </c>
      <c r="D229" s="200" t="s">
        <v>259</v>
      </c>
      <c r="E229" s="176">
        <v>472500</v>
      </c>
      <c r="F229" s="176">
        <v>277584</v>
      </c>
      <c r="G229" s="176">
        <f>E229-F229</f>
        <v>194916</v>
      </c>
      <c r="H229" s="176">
        <f>G229*18%</f>
        <v>35084.879999999997</v>
      </c>
      <c r="I229" s="176">
        <f>G229+H229</f>
        <v>230000.88</v>
      </c>
      <c r="J229" s="176">
        <f>G229*1%</f>
        <v>1949.16</v>
      </c>
      <c r="K229" s="176">
        <f>G229*5%</f>
        <v>9745.8000000000011</v>
      </c>
      <c r="L229" s="176"/>
      <c r="M229" s="176">
        <f>G229*10%</f>
        <v>19491.600000000002</v>
      </c>
      <c r="N229" s="224">
        <f>G229*18%</f>
        <v>35084.879999999997</v>
      </c>
      <c r="O229" s="176">
        <f>G229-J229-K229-M229</f>
        <v>163729.44</v>
      </c>
      <c r="P229" s="214"/>
      <c r="Q229" s="153">
        <v>3150000</v>
      </c>
      <c r="R229" s="175">
        <f>Q229-SUM(S229:S237)</f>
        <v>0</v>
      </c>
      <c r="S229" s="176">
        <v>150000</v>
      </c>
      <c r="T229" s="176">
        <f>S229-1%*S229</f>
        <v>148500</v>
      </c>
      <c r="U229" s="229" t="s">
        <v>166</v>
      </c>
      <c r="V229" s="175">
        <f>SUM(O229:O237)-SUM(S229:S237)</f>
        <v>-1761047.92</v>
      </c>
    </row>
    <row r="230" spans="1:22" ht="25" customHeight="1" x14ac:dyDescent="0.35">
      <c r="A230" s="116"/>
      <c r="B230" s="131" t="s">
        <v>189</v>
      </c>
      <c r="C230" s="120">
        <v>45307</v>
      </c>
      <c r="D230" s="135" t="s">
        <v>280</v>
      </c>
      <c r="E230" s="121">
        <v>787500</v>
      </c>
      <c r="F230" s="121">
        <v>786996</v>
      </c>
      <c r="G230" s="121">
        <f>E230-F230</f>
        <v>504</v>
      </c>
      <c r="H230" s="121">
        <f>G230*18%</f>
        <v>90.72</v>
      </c>
      <c r="I230" s="121">
        <f>G230+H230</f>
        <v>594.72</v>
      </c>
      <c r="J230" s="121">
        <f>G230*1%</f>
        <v>5.04</v>
      </c>
      <c r="K230" s="121">
        <f>G230*5%</f>
        <v>25.200000000000003</v>
      </c>
      <c r="L230" s="121"/>
      <c r="M230" s="121">
        <f>G230*10%</f>
        <v>50.400000000000006</v>
      </c>
      <c r="N230" s="196">
        <f>G230*18%</f>
        <v>90.72</v>
      </c>
      <c r="O230" s="121">
        <f>G230-J230-K230-M230</f>
        <v>423.36</v>
      </c>
      <c r="P230" s="131"/>
      <c r="Q230" s="149"/>
      <c r="R230" s="119"/>
      <c r="S230" s="121">
        <v>500000</v>
      </c>
      <c r="T230" s="121">
        <f>S230-1%*S230</f>
        <v>495000</v>
      </c>
      <c r="U230" s="122" t="s">
        <v>172</v>
      </c>
      <c r="V230" s="119"/>
    </row>
    <row r="231" spans="1:22" ht="25" customHeight="1" x14ac:dyDescent="0.35">
      <c r="A231" s="116"/>
      <c r="B231" s="131" t="s">
        <v>243</v>
      </c>
      <c r="C231" s="120"/>
      <c r="D231" s="135" t="s">
        <v>259</v>
      </c>
      <c r="E231" s="121">
        <f>N229</f>
        <v>35084.879999999997</v>
      </c>
      <c r="F231" s="119"/>
      <c r="G231" s="119"/>
      <c r="H231" s="119"/>
      <c r="I231" s="119"/>
      <c r="J231" s="119"/>
      <c r="K231" s="119"/>
      <c r="L231" s="119"/>
      <c r="M231" s="119"/>
      <c r="N231" s="149"/>
      <c r="O231" s="198">
        <f>E231</f>
        <v>35084.879999999997</v>
      </c>
      <c r="P231" s="131"/>
      <c r="Q231" s="149"/>
      <c r="R231" s="119"/>
      <c r="S231" s="121">
        <v>1000000</v>
      </c>
      <c r="T231" s="121">
        <f>S231-1%*S231</f>
        <v>990000</v>
      </c>
      <c r="U231" s="122" t="s">
        <v>174</v>
      </c>
      <c r="V231" s="119"/>
    </row>
    <row r="232" spans="1:22" ht="25" customHeight="1" x14ac:dyDescent="0.35">
      <c r="A232" s="116"/>
      <c r="B232" s="131" t="s">
        <v>272</v>
      </c>
      <c r="C232" s="120">
        <v>45796</v>
      </c>
      <c r="D232" s="135" t="s">
        <v>493</v>
      </c>
      <c r="E232" s="121">
        <v>117164</v>
      </c>
      <c r="F232" s="121"/>
      <c r="G232" s="121">
        <f>E232-F232</f>
        <v>117164</v>
      </c>
      <c r="H232" s="121">
        <f>G232*18%</f>
        <v>21089.52</v>
      </c>
      <c r="I232" s="121">
        <f>G232+H232</f>
        <v>138253.51999999999</v>
      </c>
      <c r="J232" s="121">
        <f>G232*1%</f>
        <v>1171.6400000000001</v>
      </c>
      <c r="K232" s="121">
        <f>G232*5%</f>
        <v>5858.2000000000007</v>
      </c>
      <c r="L232" s="121"/>
      <c r="M232" s="121">
        <v>0</v>
      </c>
      <c r="N232" s="196">
        <f>G232*18%</f>
        <v>21089.52</v>
      </c>
      <c r="O232" s="121">
        <f>G232-J232-K232-M232</f>
        <v>110134.16</v>
      </c>
      <c r="P232" s="177"/>
      <c r="Q232" s="149"/>
      <c r="R232" s="119"/>
      <c r="S232" s="121">
        <v>400000</v>
      </c>
      <c r="T232" s="121">
        <f>S232-1%*S232</f>
        <v>396000</v>
      </c>
      <c r="U232" s="122" t="s">
        <v>201</v>
      </c>
      <c r="V232" s="119"/>
    </row>
    <row r="233" spans="1:22" ht="25" customHeight="1" x14ac:dyDescent="0.35">
      <c r="A233" s="116"/>
      <c r="B233" s="131" t="s">
        <v>243</v>
      </c>
      <c r="C233" s="120"/>
      <c r="D233" s="135">
        <v>26</v>
      </c>
      <c r="E233" s="121">
        <f>N232</f>
        <v>21089.52</v>
      </c>
      <c r="F233" s="119"/>
      <c r="G233" s="119"/>
      <c r="H233" s="119"/>
      <c r="I233" s="119"/>
      <c r="J233" s="119"/>
      <c r="K233" s="119"/>
      <c r="L233" s="119"/>
      <c r="M233" s="119"/>
      <c r="N233" s="149"/>
      <c r="O233" s="198">
        <f>E233</f>
        <v>21089.52</v>
      </c>
      <c r="P233" s="131"/>
      <c r="Q233" s="149"/>
      <c r="R233" s="119"/>
      <c r="S233" s="121">
        <v>500000</v>
      </c>
      <c r="T233" s="121">
        <v>475000</v>
      </c>
      <c r="U233" s="122" t="s">
        <v>210</v>
      </c>
      <c r="V233" s="119"/>
    </row>
    <row r="234" spans="1:22" ht="25" customHeight="1" x14ac:dyDescent="0.35">
      <c r="A234" s="116"/>
      <c r="B234" s="131" t="s">
        <v>243</v>
      </c>
      <c r="C234" s="120"/>
      <c r="D234" s="135" t="s">
        <v>280</v>
      </c>
      <c r="E234" s="121">
        <f>N230</f>
        <v>90.72</v>
      </c>
      <c r="F234" s="119"/>
      <c r="G234" s="119"/>
      <c r="H234" s="119"/>
      <c r="I234" s="119"/>
      <c r="J234" s="119"/>
      <c r="K234" s="119"/>
      <c r="L234" s="119"/>
      <c r="M234" s="119"/>
      <c r="N234" s="149"/>
      <c r="O234" s="198">
        <f>E234</f>
        <v>90.72</v>
      </c>
      <c r="P234" s="131"/>
      <c r="Q234" s="149"/>
      <c r="R234" s="119"/>
      <c r="S234" s="121">
        <v>200000</v>
      </c>
      <c r="T234" s="121">
        <v>198000</v>
      </c>
      <c r="U234" s="122" t="s">
        <v>281</v>
      </c>
      <c r="V234" s="119"/>
    </row>
    <row r="235" spans="1:22" ht="25" customHeight="1" x14ac:dyDescent="0.35">
      <c r="A235" s="116"/>
      <c r="B235" s="131" t="s">
        <v>189</v>
      </c>
      <c r="C235" s="120">
        <v>45641</v>
      </c>
      <c r="D235" s="135">
        <v>109</v>
      </c>
      <c r="E235" s="121">
        <v>945000</v>
      </c>
      <c r="F235" s="121">
        <v>0</v>
      </c>
      <c r="G235" s="121">
        <f>E235-F235</f>
        <v>945000</v>
      </c>
      <c r="H235" s="121">
        <f>G235*18%</f>
        <v>170100</v>
      </c>
      <c r="I235" s="121">
        <f>G235+H235</f>
        <v>1115100</v>
      </c>
      <c r="J235" s="121">
        <f>G235*1%</f>
        <v>9450</v>
      </c>
      <c r="K235" s="121">
        <f>G235*5%</f>
        <v>47250</v>
      </c>
      <c r="L235" s="121"/>
      <c r="M235" s="121">
        <v>0</v>
      </c>
      <c r="N235" s="196">
        <f>G235*18%</f>
        <v>170100</v>
      </c>
      <c r="O235" s="121">
        <f>G235-J235-K235-M235</f>
        <v>888300</v>
      </c>
      <c r="P235" s="131"/>
      <c r="Q235" s="149"/>
      <c r="R235" s="119"/>
      <c r="S235" s="121">
        <v>200000</v>
      </c>
      <c r="T235" s="121">
        <v>198000</v>
      </c>
      <c r="U235" s="122" t="s">
        <v>305</v>
      </c>
      <c r="V235" s="119"/>
    </row>
    <row r="236" spans="1:22" ht="25" customHeight="1" x14ac:dyDescent="0.35">
      <c r="A236" s="116"/>
      <c r="B236" s="131" t="s">
        <v>243</v>
      </c>
      <c r="C236" s="120"/>
      <c r="D236" s="135">
        <v>109</v>
      </c>
      <c r="E236" s="121">
        <f>N235</f>
        <v>170100</v>
      </c>
      <c r="F236" s="119"/>
      <c r="G236" s="119"/>
      <c r="H236" s="119"/>
      <c r="I236" s="119"/>
      <c r="J236" s="119"/>
      <c r="K236" s="119"/>
      <c r="L236" s="119"/>
      <c r="M236" s="119"/>
      <c r="N236" s="149"/>
      <c r="O236" s="198">
        <f>E236</f>
        <v>170100</v>
      </c>
      <c r="P236" s="131"/>
      <c r="Q236" s="149"/>
      <c r="R236" s="119"/>
      <c r="S236" s="121">
        <v>100000</v>
      </c>
      <c r="T236" s="121">
        <v>99000</v>
      </c>
      <c r="U236" s="122" t="s">
        <v>310</v>
      </c>
      <c r="V236" s="119"/>
    </row>
    <row r="237" spans="1:22" ht="25" customHeight="1" thickBot="1" x14ac:dyDescent="0.4">
      <c r="A237" s="126"/>
      <c r="B237" s="141"/>
      <c r="C237" s="178"/>
      <c r="D237" s="142"/>
      <c r="E237" s="143"/>
      <c r="F237" s="143"/>
      <c r="G237" s="143"/>
      <c r="H237" s="143"/>
      <c r="I237" s="143"/>
      <c r="J237" s="143"/>
      <c r="K237" s="143"/>
      <c r="L237" s="143"/>
      <c r="M237" s="143"/>
      <c r="N237" s="207"/>
      <c r="O237" s="143"/>
      <c r="P237" s="144"/>
      <c r="Q237" s="207"/>
      <c r="R237" s="143"/>
      <c r="S237" s="189">
        <v>100000</v>
      </c>
      <c r="T237" s="189">
        <v>99000</v>
      </c>
      <c r="U237" s="191" t="s">
        <v>383</v>
      </c>
      <c r="V237" s="143"/>
    </row>
    <row r="238" spans="1:22" ht="25" customHeight="1" thickBot="1" x14ac:dyDescent="0.4">
      <c r="A238" s="215">
        <v>60811</v>
      </c>
      <c r="B238" s="216"/>
      <c r="C238" s="217"/>
      <c r="D238" s="218"/>
      <c r="E238" s="219"/>
      <c r="F238" s="219"/>
      <c r="G238" s="219"/>
      <c r="H238" s="219"/>
      <c r="I238" s="219"/>
      <c r="J238" s="219"/>
      <c r="K238" s="219"/>
      <c r="L238" s="219"/>
      <c r="M238" s="219"/>
      <c r="N238" s="220"/>
      <c r="O238" s="219"/>
      <c r="P238" s="221">
        <f>A238</f>
        <v>60811</v>
      </c>
      <c r="Q238" s="220"/>
      <c r="R238" s="219"/>
      <c r="S238" s="219"/>
      <c r="T238" s="219"/>
      <c r="U238" s="222"/>
      <c r="V238" s="219"/>
    </row>
    <row r="239" spans="1:22" ht="25" customHeight="1" x14ac:dyDescent="0.35">
      <c r="A239" s="213">
        <v>3150000</v>
      </c>
      <c r="B239" s="214" t="s">
        <v>188</v>
      </c>
      <c r="C239" s="199">
        <v>45268</v>
      </c>
      <c r="D239" s="200" t="s">
        <v>260</v>
      </c>
      <c r="E239" s="176">
        <v>472500</v>
      </c>
      <c r="F239" s="176">
        <v>276596</v>
      </c>
      <c r="G239" s="176">
        <f>E239-F239</f>
        <v>195904</v>
      </c>
      <c r="H239" s="176">
        <f>G239*18%</f>
        <v>35262.720000000001</v>
      </c>
      <c r="I239" s="176">
        <f>G239+H239</f>
        <v>231166.72</v>
      </c>
      <c r="J239" s="176">
        <f>G239*1%</f>
        <v>1959.04</v>
      </c>
      <c r="K239" s="176">
        <f>G239*5%</f>
        <v>9795.2000000000007</v>
      </c>
      <c r="L239" s="176"/>
      <c r="M239" s="176">
        <f>G239*10%</f>
        <v>19590.400000000001</v>
      </c>
      <c r="N239" s="224">
        <f>G239*18%</f>
        <v>35262.720000000001</v>
      </c>
      <c r="O239" s="176">
        <f>I239-SUM(J239:N239)</f>
        <v>164559.35999999999</v>
      </c>
      <c r="P239" s="214"/>
      <c r="Q239" s="153">
        <v>3150000</v>
      </c>
      <c r="R239" s="175">
        <f>Q239-SUM(S239:S246)</f>
        <v>0</v>
      </c>
      <c r="S239" s="176">
        <v>150000</v>
      </c>
      <c r="T239" s="176">
        <f>S239-1%*S239</f>
        <v>148500</v>
      </c>
      <c r="U239" s="229" t="s">
        <v>165</v>
      </c>
      <c r="V239" s="175">
        <f>SUM(O239:O246)-SUM(S239:S246)</f>
        <v>-857157.42400000012</v>
      </c>
    </row>
    <row r="240" spans="1:22" ht="25" customHeight="1" x14ac:dyDescent="0.35">
      <c r="A240" s="116"/>
      <c r="B240" s="131" t="s">
        <v>243</v>
      </c>
      <c r="C240" s="120"/>
      <c r="D240" s="135" t="s">
        <v>260</v>
      </c>
      <c r="E240" s="121">
        <f>N239</f>
        <v>35262.720000000001</v>
      </c>
      <c r="F240" s="119"/>
      <c r="G240" s="119"/>
      <c r="H240" s="119"/>
      <c r="I240" s="119"/>
      <c r="J240" s="119"/>
      <c r="K240" s="119"/>
      <c r="L240" s="119"/>
      <c r="M240" s="119"/>
      <c r="N240" s="149"/>
      <c r="O240" s="198">
        <f>E240</f>
        <v>35262.720000000001</v>
      </c>
      <c r="P240" s="131"/>
      <c r="Q240" s="149"/>
      <c r="R240" s="119"/>
      <c r="S240" s="121">
        <v>500000</v>
      </c>
      <c r="T240" s="121">
        <f>S240-1%*S240</f>
        <v>495000</v>
      </c>
      <c r="U240" s="122" t="s">
        <v>170</v>
      </c>
      <c r="V240" s="119"/>
    </row>
    <row r="241" spans="1:22" ht="25" customHeight="1" x14ac:dyDescent="0.35">
      <c r="A241" s="116"/>
      <c r="B241" s="131" t="s">
        <v>272</v>
      </c>
      <c r="C241" s="120">
        <v>45787</v>
      </c>
      <c r="D241" s="135" t="s">
        <v>494</v>
      </c>
      <c r="E241" s="121">
        <v>136268.29999999999</v>
      </c>
      <c r="F241" s="121"/>
      <c r="G241" s="121">
        <f>E241-F241</f>
        <v>136268.29999999999</v>
      </c>
      <c r="H241" s="121">
        <f>G241*18%</f>
        <v>24528.293999999998</v>
      </c>
      <c r="I241" s="121">
        <f>G241+H241</f>
        <v>160796.59399999998</v>
      </c>
      <c r="J241" s="121">
        <f>G241*1%</f>
        <v>1362.683</v>
      </c>
      <c r="K241" s="121">
        <f>G241*5%</f>
        <v>6813.415</v>
      </c>
      <c r="L241" s="121"/>
      <c r="M241" s="121">
        <v>0</v>
      </c>
      <c r="N241" s="196">
        <f>G241*18%</f>
        <v>24528.293999999998</v>
      </c>
      <c r="O241" s="121">
        <f>I241-SUM(J241:N241)</f>
        <v>128092.20199999999</v>
      </c>
      <c r="P241" s="177"/>
      <c r="Q241" s="149"/>
      <c r="R241" s="119"/>
      <c r="S241" s="121">
        <v>500000</v>
      </c>
      <c r="T241" s="121">
        <f>S241-1%*S241</f>
        <v>495000</v>
      </c>
      <c r="U241" s="122" t="s">
        <v>173</v>
      </c>
      <c r="V241" s="119"/>
    </row>
    <row r="242" spans="1:22" ht="25" customHeight="1" x14ac:dyDescent="0.35">
      <c r="A242" s="116"/>
      <c r="B242" s="131" t="s">
        <v>243</v>
      </c>
      <c r="C242" s="120"/>
      <c r="D242" s="135">
        <v>19</v>
      </c>
      <c r="E242" s="121">
        <f>N241</f>
        <v>24528.293999999998</v>
      </c>
      <c r="F242" s="119"/>
      <c r="G242" s="119"/>
      <c r="H242" s="119"/>
      <c r="I242" s="119"/>
      <c r="J242" s="119"/>
      <c r="K242" s="119"/>
      <c r="L242" s="119"/>
      <c r="M242" s="119"/>
      <c r="N242" s="149"/>
      <c r="O242" s="198">
        <f>E242</f>
        <v>24528.293999999998</v>
      </c>
      <c r="P242" s="131"/>
      <c r="Q242" s="149"/>
      <c r="R242" s="119"/>
      <c r="S242" s="121">
        <v>1000000</v>
      </c>
      <c r="T242" s="121">
        <f>S242-1%*S242</f>
        <v>990000</v>
      </c>
      <c r="U242" s="122" t="s">
        <v>179</v>
      </c>
      <c r="V242" s="119"/>
    </row>
    <row r="243" spans="1:22" ht="25" customHeight="1" x14ac:dyDescent="0.35">
      <c r="A243" s="116"/>
      <c r="B243" s="131" t="s">
        <v>188</v>
      </c>
      <c r="C243" s="120">
        <v>45641</v>
      </c>
      <c r="D243" s="135">
        <v>108</v>
      </c>
      <c r="E243" s="121">
        <v>1732500</v>
      </c>
      <c r="F243" s="121">
        <v>0</v>
      </c>
      <c r="G243" s="121">
        <f>E243-F243</f>
        <v>1732500</v>
      </c>
      <c r="H243" s="121">
        <f>G243*18%</f>
        <v>311850</v>
      </c>
      <c r="I243" s="121">
        <f>G243+H243</f>
        <v>2044350</v>
      </c>
      <c r="J243" s="121">
        <f>G243*1%</f>
        <v>17325</v>
      </c>
      <c r="K243" s="121">
        <f>G243*5%</f>
        <v>86625</v>
      </c>
      <c r="L243" s="121"/>
      <c r="M243" s="121">
        <v>0</v>
      </c>
      <c r="N243" s="196">
        <f>G243*18%</f>
        <v>311850</v>
      </c>
      <c r="O243" s="121">
        <f>I243-SUM(J243:N243)</f>
        <v>1628550</v>
      </c>
      <c r="P243" s="131"/>
      <c r="Q243" s="149"/>
      <c r="R243" s="119"/>
      <c r="S243" s="121">
        <v>500000</v>
      </c>
      <c r="T243" s="121">
        <v>475000</v>
      </c>
      <c r="U243" s="122" t="s">
        <v>211</v>
      </c>
      <c r="V243" s="119"/>
    </row>
    <row r="244" spans="1:22" ht="25" customHeight="1" x14ac:dyDescent="0.35">
      <c r="A244" s="116"/>
      <c r="B244" s="131" t="s">
        <v>243</v>
      </c>
      <c r="C244" s="120"/>
      <c r="D244" s="135">
        <v>108</v>
      </c>
      <c r="E244" s="121">
        <f>N243</f>
        <v>311850</v>
      </c>
      <c r="F244" s="119"/>
      <c r="G244" s="119"/>
      <c r="H244" s="119"/>
      <c r="I244" s="119"/>
      <c r="J244" s="119"/>
      <c r="K244" s="119"/>
      <c r="L244" s="119"/>
      <c r="M244" s="119"/>
      <c r="N244" s="149"/>
      <c r="O244" s="198">
        <f>E244</f>
        <v>311850</v>
      </c>
      <c r="P244" s="131"/>
      <c r="Q244" s="149"/>
      <c r="R244" s="119"/>
      <c r="S244" s="121">
        <v>200000</v>
      </c>
      <c r="T244" s="121">
        <v>198000</v>
      </c>
      <c r="U244" s="122" t="s">
        <v>295</v>
      </c>
      <c r="V244" s="119"/>
    </row>
    <row r="245" spans="1:22" ht="25" customHeight="1" x14ac:dyDescent="0.35">
      <c r="A245" s="116"/>
      <c r="B245" s="131"/>
      <c r="C245" s="114"/>
      <c r="D245" s="118"/>
      <c r="E245" s="119"/>
      <c r="F245" s="119"/>
      <c r="G245" s="119"/>
      <c r="H245" s="119"/>
      <c r="I245" s="119"/>
      <c r="J245" s="119"/>
      <c r="K245" s="119"/>
      <c r="L245" s="119"/>
      <c r="M245" s="119"/>
      <c r="N245" s="149"/>
      <c r="O245" s="119"/>
      <c r="P245" s="131"/>
      <c r="Q245" s="149"/>
      <c r="R245" s="119"/>
      <c r="S245" s="121">
        <v>200000</v>
      </c>
      <c r="T245" s="121">
        <v>198000</v>
      </c>
      <c r="U245" s="122" t="s">
        <v>341</v>
      </c>
      <c r="V245" s="119"/>
    </row>
    <row r="246" spans="1:22" ht="25" customHeight="1" thickBot="1" x14ac:dyDescent="0.4">
      <c r="A246" s="126"/>
      <c r="B246" s="144"/>
      <c r="C246" s="178"/>
      <c r="D246" s="142"/>
      <c r="E246" s="143"/>
      <c r="F246" s="143"/>
      <c r="G246" s="143"/>
      <c r="H246" s="143"/>
      <c r="I246" s="143"/>
      <c r="J246" s="143"/>
      <c r="K246" s="143"/>
      <c r="L246" s="143"/>
      <c r="M246" s="143"/>
      <c r="N246" s="207"/>
      <c r="O246" s="143"/>
      <c r="P246" s="144"/>
      <c r="Q246" s="207"/>
      <c r="R246" s="143"/>
      <c r="S246" s="189">
        <v>100000</v>
      </c>
      <c r="T246" s="189">
        <v>99000</v>
      </c>
      <c r="U246" s="191" t="s">
        <v>408</v>
      </c>
      <c r="V246" s="143"/>
    </row>
    <row r="247" spans="1:22" ht="25" customHeight="1" thickBot="1" x14ac:dyDescent="0.4">
      <c r="A247" s="215">
        <v>60813</v>
      </c>
      <c r="B247" s="269"/>
      <c r="C247" s="217"/>
      <c r="D247" s="218"/>
      <c r="E247" s="219"/>
      <c r="F247" s="219"/>
      <c r="G247" s="219"/>
      <c r="H247" s="219"/>
      <c r="I247" s="219"/>
      <c r="J247" s="219"/>
      <c r="K247" s="219"/>
      <c r="L247" s="219"/>
      <c r="M247" s="219"/>
      <c r="N247" s="220"/>
      <c r="O247" s="219"/>
      <c r="P247" s="221">
        <f>A247</f>
        <v>60813</v>
      </c>
      <c r="Q247" s="220"/>
      <c r="R247" s="219"/>
      <c r="S247" s="219"/>
      <c r="T247" s="219"/>
      <c r="U247" s="222"/>
      <c r="V247" s="219"/>
    </row>
    <row r="248" spans="1:22" ht="25" customHeight="1" x14ac:dyDescent="0.35">
      <c r="A248" s="213">
        <v>6250000</v>
      </c>
      <c r="B248" s="214" t="s">
        <v>187</v>
      </c>
      <c r="C248" s="199">
        <v>45268</v>
      </c>
      <c r="D248" s="200" t="s">
        <v>265</v>
      </c>
      <c r="E248" s="176">
        <v>937500</v>
      </c>
      <c r="F248" s="176">
        <v>397462</v>
      </c>
      <c r="G248" s="176">
        <f>E248-F248</f>
        <v>540038</v>
      </c>
      <c r="H248" s="176">
        <f>G248*18%</f>
        <v>97206.84</v>
      </c>
      <c r="I248" s="176">
        <f>G248+H248</f>
        <v>637244.84</v>
      </c>
      <c r="J248" s="176">
        <f>G248*1%</f>
        <v>5400.38</v>
      </c>
      <c r="K248" s="176">
        <f>G248*5%</f>
        <v>27001.9</v>
      </c>
      <c r="L248" s="176"/>
      <c r="M248" s="176">
        <f>G248*10%</f>
        <v>54003.8</v>
      </c>
      <c r="N248" s="224">
        <f>G248*18%</f>
        <v>97206.84</v>
      </c>
      <c r="O248" s="176">
        <f>I248-SUM(J248:N248)</f>
        <v>453631.92</v>
      </c>
      <c r="P248" s="214"/>
      <c r="Q248" s="153">
        <v>6250000</v>
      </c>
      <c r="R248" s="175">
        <f>Q248-SUM(S248:S261)</f>
        <v>50000</v>
      </c>
      <c r="S248" s="176">
        <v>500000</v>
      </c>
      <c r="T248" s="176">
        <f>S248-1%*S248</f>
        <v>495000</v>
      </c>
      <c r="U248" s="229" t="s">
        <v>162</v>
      </c>
      <c r="V248" s="175">
        <f>SUM(O248:O261)-SUM(S248:S261)</f>
        <v>-1799161.2400000002</v>
      </c>
    </row>
    <row r="249" spans="1:22" ht="25" customHeight="1" x14ac:dyDescent="0.35">
      <c r="A249" s="116"/>
      <c r="B249" s="131" t="s">
        <v>243</v>
      </c>
      <c r="C249" s="120"/>
      <c r="D249" s="135" t="s">
        <v>265</v>
      </c>
      <c r="E249" s="121">
        <f>N248</f>
        <v>97206.84</v>
      </c>
      <c r="F249" s="119"/>
      <c r="G249" s="119"/>
      <c r="H249" s="119"/>
      <c r="I249" s="119"/>
      <c r="J249" s="119"/>
      <c r="K249" s="119"/>
      <c r="L249" s="119"/>
      <c r="M249" s="119"/>
      <c r="N249" s="149"/>
      <c r="O249" s="198">
        <f>E249</f>
        <v>97206.84</v>
      </c>
      <c r="P249" s="131"/>
      <c r="Q249" s="149"/>
      <c r="R249" s="119"/>
      <c r="S249" s="121">
        <v>500000</v>
      </c>
      <c r="T249" s="121">
        <f>S249-1%*S249</f>
        <v>495000</v>
      </c>
      <c r="U249" s="122" t="s">
        <v>175</v>
      </c>
      <c r="V249" s="119"/>
    </row>
    <row r="250" spans="1:22" ht="25" customHeight="1" x14ac:dyDescent="0.35">
      <c r="A250" s="116"/>
      <c r="B250" s="131" t="s">
        <v>187</v>
      </c>
      <c r="C250" s="120">
        <v>45646</v>
      </c>
      <c r="D250" s="135">
        <v>110</v>
      </c>
      <c r="E250" s="121">
        <v>3437500</v>
      </c>
      <c r="F250" s="121">
        <v>0</v>
      </c>
      <c r="G250" s="121">
        <f>E250-F250</f>
        <v>3437500</v>
      </c>
      <c r="H250" s="121">
        <f>G250*18%</f>
        <v>618750</v>
      </c>
      <c r="I250" s="121">
        <f>G250+H250</f>
        <v>4056250</v>
      </c>
      <c r="J250" s="121">
        <f>G250*1%</f>
        <v>34375</v>
      </c>
      <c r="K250" s="121">
        <f>G250*5%</f>
        <v>171875</v>
      </c>
      <c r="L250" s="121"/>
      <c r="M250" s="121">
        <v>0</v>
      </c>
      <c r="N250" s="196">
        <f>G250*18%</f>
        <v>618750</v>
      </c>
      <c r="O250" s="121">
        <f>I250-SUM(J250:N250)</f>
        <v>3231250</v>
      </c>
      <c r="P250" s="131"/>
      <c r="Q250" s="149"/>
      <c r="R250" s="119"/>
      <c r="S250" s="121">
        <v>1000000</v>
      </c>
      <c r="T250" s="121">
        <f>S250-1%*S250</f>
        <v>990000</v>
      </c>
      <c r="U250" s="122" t="s">
        <v>180</v>
      </c>
      <c r="V250" s="119"/>
    </row>
    <row r="251" spans="1:22" ht="25" customHeight="1" x14ac:dyDescent="0.35">
      <c r="A251" s="116"/>
      <c r="B251" s="131" t="s">
        <v>243</v>
      </c>
      <c r="C251" s="120"/>
      <c r="D251" s="135">
        <v>110</v>
      </c>
      <c r="E251" s="121">
        <f>N250</f>
        <v>618750</v>
      </c>
      <c r="F251" s="119"/>
      <c r="G251" s="119"/>
      <c r="H251" s="119"/>
      <c r="I251" s="119"/>
      <c r="J251" s="119"/>
      <c r="K251" s="119"/>
      <c r="L251" s="119"/>
      <c r="M251" s="119"/>
      <c r="N251" s="149"/>
      <c r="O251" s="198">
        <f>E251</f>
        <v>618750</v>
      </c>
      <c r="P251" s="131"/>
      <c r="Q251" s="149"/>
      <c r="R251" s="119"/>
      <c r="S251" s="121">
        <v>1000000</v>
      </c>
      <c r="T251" s="121">
        <f>S251-1%*S251</f>
        <v>990000</v>
      </c>
      <c r="U251" s="122" t="s">
        <v>409</v>
      </c>
      <c r="V251" s="119"/>
    </row>
    <row r="252" spans="1:22" ht="25" customHeight="1" x14ac:dyDescent="0.35">
      <c r="A252" s="116"/>
      <c r="B252" s="131"/>
      <c r="C252" s="114"/>
      <c r="D252" s="118"/>
      <c r="E252" s="119"/>
      <c r="F252" s="119"/>
      <c r="G252" s="119"/>
      <c r="H252" s="119"/>
      <c r="I252" s="119"/>
      <c r="J252" s="119"/>
      <c r="K252" s="119"/>
      <c r="L252" s="119"/>
      <c r="M252" s="119"/>
      <c r="N252" s="149"/>
      <c r="O252" s="119"/>
      <c r="P252" s="131"/>
      <c r="Q252" s="149"/>
      <c r="R252" s="119"/>
      <c r="S252" s="121">
        <v>200000</v>
      </c>
      <c r="T252" s="121">
        <v>190000</v>
      </c>
      <c r="U252" s="122" t="s">
        <v>217</v>
      </c>
      <c r="V252" s="119"/>
    </row>
    <row r="253" spans="1:22" ht="25" customHeight="1" x14ac:dyDescent="0.35">
      <c r="A253" s="116"/>
      <c r="B253" s="131"/>
      <c r="C253" s="114"/>
      <c r="D253" s="118"/>
      <c r="E253" s="119"/>
      <c r="F253" s="119"/>
      <c r="G253" s="119"/>
      <c r="H253" s="119"/>
      <c r="I253" s="119"/>
      <c r="J253" s="119"/>
      <c r="K253" s="119"/>
      <c r="L253" s="119"/>
      <c r="M253" s="119"/>
      <c r="N253" s="149"/>
      <c r="O253" s="119"/>
      <c r="P253" s="131"/>
      <c r="Q253" s="149"/>
      <c r="R253" s="119"/>
      <c r="S253" s="121">
        <v>500000</v>
      </c>
      <c r="T253" s="121">
        <v>495000</v>
      </c>
      <c r="U253" s="122" t="s">
        <v>229</v>
      </c>
      <c r="V253" s="119"/>
    </row>
    <row r="254" spans="1:22" ht="25" customHeight="1" x14ac:dyDescent="0.35">
      <c r="A254" s="116"/>
      <c r="B254" s="131"/>
      <c r="C254" s="114"/>
      <c r="D254" s="118"/>
      <c r="E254" s="119"/>
      <c r="F254" s="119"/>
      <c r="G254" s="119"/>
      <c r="H254" s="119"/>
      <c r="I254" s="119"/>
      <c r="J254" s="119"/>
      <c r="K254" s="119"/>
      <c r="L254" s="119"/>
      <c r="M254" s="119"/>
      <c r="N254" s="149"/>
      <c r="O254" s="119"/>
      <c r="P254" s="131"/>
      <c r="Q254" s="149"/>
      <c r="R254" s="119"/>
      <c r="S254" s="121">
        <v>500000</v>
      </c>
      <c r="T254" s="121">
        <v>495000</v>
      </c>
      <c r="U254" s="122" t="s">
        <v>261</v>
      </c>
      <c r="V254" s="119"/>
    </row>
    <row r="255" spans="1:22" ht="25" customHeight="1" x14ac:dyDescent="0.35">
      <c r="A255" s="116"/>
      <c r="B255" s="131"/>
      <c r="C255" s="114"/>
      <c r="D255" s="118"/>
      <c r="E255" s="119"/>
      <c r="F255" s="119"/>
      <c r="G255" s="119"/>
      <c r="H255" s="119"/>
      <c r="I255" s="119"/>
      <c r="J255" s="119"/>
      <c r="K255" s="119"/>
      <c r="L255" s="119"/>
      <c r="M255" s="119"/>
      <c r="N255" s="149"/>
      <c r="O255" s="119"/>
      <c r="P255" s="131"/>
      <c r="Q255" s="149"/>
      <c r="R255" s="119"/>
      <c r="S255" s="121">
        <v>300000</v>
      </c>
      <c r="T255" s="121">
        <v>297000</v>
      </c>
      <c r="U255" s="122" t="s">
        <v>266</v>
      </c>
      <c r="V255" s="119"/>
    </row>
    <row r="256" spans="1:22" ht="25" customHeight="1" x14ac:dyDescent="0.35">
      <c r="A256" s="116"/>
      <c r="B256" s="131"/>
      <c r="C256" s="114"/>
      <c r="D256" s="118"/>
      <c r="E256" s="119"/>
      <c r="F256" s="119"/>
      <c r="G256" s="119"/>
      <c r="H256" s="119"/>
      <c r="I256" s="119"/>
      <c r="J256" s="119"/>
      <c r="K256" s="119"/>
      <c r="L256" s="119"/>
      <c r="M256" s="119"/>
      <c r="N256" s="149"/>
      <c r="O256" s="119"/>
      <c r="P256" s="131"/>
      <c r="Q256" s="149"/>
      <c r="R256" s="119"/>
      <c r="S256" s="121">
        <v>500000</v>
      </c>
      <c r="T256" s="121">
        <v>495000</v>
      </c>
      <c r="U256" s="122" t="s">
        <v>270</v>
      </c>
      <c r="V256" s="119"/>
    </row>
    <row r="257" spans="1:22" ht="25" customHeight="1" x14ac:dyDescent="0.35">
      <c r="A257" s="116"/>
      <c r="B257" s="131"/>
      <c r="C257" s="114"/>
      <c r="D257" s="118"/>
      <c r="E257" s="119"/>
      <c r="F257" s="119"/>
      <c r="G257" s="119"/>
      <c r="H257" s="119"/>
      <c r="I257" s="119"/>
      <c r="J257" s="119"/>
      <c r="K257" s="119"/>
      <c r="L257" s="119"/>
      <c r="M257" s="119"/>
      <c r="N257" s="149"/>
      <c r="O257" s="119"/>
      <c r="P257" s="131"/>
      <c r="Q257" s="149"/>
      <c r="R257" s="119"/>
      <c r="S257" s="121">
        <v>400000</v>
      </c>
      <c r="T257" s="121">
        <v>396000</v>
      </c>
      <c r="U257" s="122" t="s">
        <v>306</v>
      </c>
      <c r="V257" s="119"/>
    </row>
    <row r="258" spans="1:22" ht="25" customHeight="1" x14ac:dyDescent="0.35">
      <c r="A258" s="116"/>
      <c r="B258" s="131"/>
      <c r="C258" s="114"/>
      <c r="D258" s="118"/>
      <c r="E258" s="119"/>
      <c r="F258" s="119"/>
      <c r="G258" s="119"/>
      <c r="H258" s="119"/>
      <c r="I258" s="119"/>
      <c r="J258" s="119"/>
      <c r="K258" s="119"/>
      <c r="L258" s="119"/>
      <c r="M258" s="119"/>
      <c r="N258" s="149"/>
      <c r="O258" s="119"/>
      <c r="P258" s="131"/>
      <c r="Q258" s="149"/>
      <c r="R258" s="119"/>
      <c r="S258" s="121">
        <v>300000</v>
      </c>
      <c r="T258" s="121">
        <v>297000</v>
      </c>
      <c r="U258" s="122" t="s">
        <v>309</v>
      </c>
      <c r="V258" s="119"/>
    </row>
    <row r="259" spans="1:22" ht="25" customHeight="1" x14ac:dyDescent="0.35">
      <c r="A259" s="116"/>
      <c r="B259" s="131"/>
      <c r="C259" s="114"/>
      <c r="D259" s="118"/>
      <c r="E259" s="119"/>
      <c r="F259" s="119"/>
      <c r="G259" s="119"/>
      <c r="H259" s="119"/>
      <c r="I259" s="119"/>
      <c r="J259" s="119"/>
      <c r="K259" s="119"/>
      <c r="L259" s="119"/>
      <c r="M259" s="119"/>
      <c r="N259" s="149"/>
      <c r="O259" s="119"/>
      <c r="P259" s="131"/>
      <c r="Q259" s="149"/>
      <c r="R259" s="119"/>
      <c r="S259" s="121">
        <v>200000</v>
      </c>
      <c r="T259" s="121">
        <v>198000</v>
      </c>
      <c r="U259" s="122" t="s">
        <v>319</v>
      </c>
      <c r="V259" s="119"/>
    </row>
    <row r="260" spans="1:22" ht="25" customHeight="1" x14ac:dyDescent="0.35">
      <c r="A260" s="116"/>
      <c r="B260" s="131"/>
      <c r="C260" s="114"/>
      <c r="D260" s="118"/>
      <c r="E260" s="119"/>
      <c r="F260" s="119"/>
      <c r="G260" s="119"/>
      <c r="H260" s="119"/>
      <c r="I260" s="119"/>
      <c r="J260" s="119"/>
      <c r="K260" s="119"/>
      <c r="L260" s="119"/>
      <c r="M260" s="119"/>
      <c r="N260" s="149"/>
      <c r="O260" s="119"/>
      <c r="P260" s="131"/>
      <c r="Q260" s="149"/>
      <c r="R260" s="119"/>
      <c r="S260" s="121">
        <v>200000</v>
      </c>
      <c r="T260" s="121">
        <v>198000</v>
      </c>
      <c r="U260" s="122" t="s">
        <v>342</v>
      </c>
      <c r="V260" s="119"/>
    </row>
    <row r="261" spans="1:22" ht="25" customHeight="1" thickBot="1" x14ac:dyDescent="0.4">
      <c r="A261" s="126"/>
      <c r="B261" s="144"/>
      <c r="C261" s="178"/>
      <c r="D261" s="142"/>
      <c r="E261" s="143"/>
      <c r="F261" s="143"/>
      <c r="G261" s="143"/>
      <c r="H261" s="143"/>
      <c r="I261" s="143"/>
      <c r="J261" s="143"/>
      <c r="K261" s="143"/>
      <c r="L261" s="143"/>
      <c r="M261" s="143"/>
      <c r="N261" s="207"/>
      <c r="O261" s="143"/>
      <c r="P261" s="144"/>
      <c r="Q261" s="207"/>
      <c r="R261" s="143"/>
      <c r="S261" s="189">
        <v>100000</v>
      </c>
      <c r="T261" s="189">
        <v>99000</v>
      </c>
      <c r="U261" s="191" t="s">
        <v>382</v>
      </c>
      <c r="V261" s="143"/>
    </row>
    <row r="262" spans="1:22" ht="25" customHeight="1" thickBot="1" x14ac:dyDescent="0.4">
      <c r="A262" s="215">
        <v>60814</v>
      </c>
      <c r="B262" s="269"/>
      <c r="C262" s="217"/>
      <c r="D262" s="218"/>
      <c r="E262" s="219"/>
      <c r="F262" s="219"/>
      <c r="G262" s="219"/>
      <c r="H262" s="219"/>
      <c r="I262" s="219"/>
      <c r="J262" s="219"/>
      <c r="K262" s="219"/>
      <c r="L262" s="219"/>
      <c r="M262" s="219"/>
      <c r="N262" s="220"/>
      <c r="O262" s="219"/>
      <c r="P262" s="221">
        <f>A262</f>
        <v>60814</v>
      </c>
      <c r="Q262" s="220"/>
      <c r="R262" s="219"/>
      <c r="S262" s="219"/>
      <c r="T262" s="219"/>
      <c r="U262" s="222"/>
      <c r="V262" s="219"/>
    </row>
    <row r="263" spans="1:22" ht="25" customHeight="1" x14ac:dyDescent="0.35">
      <c r="A263" s="213">
        <v>1900000</v>
      </c>
      <c r="B263" s="214" t="s">
        <v>186</v>
      </c>
      <c r="C263" s="199">
        <v>45268</v>
      </c>
      <c r="D263" s="200" t="s">
        <v>282</v>
      </c>
      <c r="E263" s="176">
        <v>285000</v>
      </c>
      <c r="F263" s="176">
        <v>214252</v>
      </c>
      <c r="G263" s="176">
        <f>E263-F263</f>
        <v>70748</v>
      </c>
      <c r="H263" s="176">
        <f>G263*18%</f>
        <v>12734.64</v>
      </c>
      <c r="I263" s="176">
        <f>G263+H263</f>
        <v>83482.64</v>
      </c>
      <c r="J263" s="176">
        <f>G263*1%</f>
        <v>707.48</v>
      </c>
      <c r="K263" s="176">
        <f>G263*5%</f>
        <v>3537.4</v>
      </c>
      <c r="L263" s="176"/>
      <c r="M263" s="176">
        <f>G263*10%</f>
        <v>7074.8</v>
      </c>
      <c r="N263" s="224">
        <f>H263</f>
        <v>12734.64</v>
      </c>
      <c r="O263" s="176">
        <f>I263-SUM(J263:N263)</f>
        <v>59428.32</v>
      </c>
      <c r="P263" s="214"/>
      <c r="Q263" s="153">
        <v>1900000</v>
      </c>
      <c r="R263" s="175">
        <f>Q263-SUM(S263:S267)</f>
        <v>0</v>
      </c>
      <c r="S263" s="176">
        <v>500000</v>
      </c>
      <c r="T263" s="176">
        <f>S263-1%*S263</f>
        <v>495000</v>
      </c>
      <c r="U263" s="229" t="s">
        <v>164</v>
      </c>
      <c r="V263" s="175">
        <f>SUM(O263:O268)-SUM(S263:S267)</f>
        <v>-391934.54400000023</v>
      </c>
    </row>
    <row r="264" spans="1:22" ht="25" customHeight="1" x14ac:dyDescent="0.35">
      <c r="A264" s="116"/>
      <c r="B264" s="131" t="s">
        <v>243</v>
      </c>
      <c r="C264" s="120"/>
      <c r="D264" s="135" t="s">
        <v>282</v>
      </c>
      <c r="E264" s="121">
        <f>N263</f>
        <v>12734.64</v>
      </c>
      <c r="F264" s="119"/>
      <c r="G264" s="119"/>
      <c r="H264" s="119"/>
      <c r="I264" s="119"/>
      <c r="J264" s="119"/>
      <c r="K264" s="119"/>
      <c r="L264" s="119"/>
      <c r="M264" s="119"/>
      <c r="N264" s="149"/>
      <c r="O264" s="198">
        <f>E264</f>
        <v>12734.64</v>
      </c>
      <c r="P264" s="131"/>
      <c r="Q264" s="149"/>
      <c r="R264" s="119"/>
      <c r="S264" s="121">
        <v>500000</v>
      </c>
      <c r="T264" s="121">
        <v>495000</v>
      </c>
      <c r="U264" s="122" t="s">
        <v>171</v>
      </c>
      <c r="V264" s="119"/>
    </row>
    <row r="265" spans="1:22" ht="25" customHeight="1" x14ac:dyDescent="0.35">
      <c r="A265" s="116"/>
      <c r="B265" s="131" t="s">
        <v>272</v>
      </c>
      <c r="C265" s="120">
        <v>45795</v>
      </c>
      <c r="D265" s="135" t="s">
        <v>495</v>
      </c>
      <c r="E265" s="121">
        <v>68582.8</v>
      </c>
      <c r="F265" s="121"/>
      <c r="G265" s="121">
        <f>E265-F265</f>
        <v>68582.8</v>
      </c>
      <c r="H265" s="121">
        <f>G265*18%</f>
        <v>12344.904</v>
      </c>
      <c r="I265" s="121">
        <f>G265+H265</f>
        <v>80927.703999999998</v>
      </c>
      <c r="J265" s="121">
        <f>G265*1%</f>
        <v>685.82800000000009</v>
      </c>
      <c r="K265" s="121">
        <f>G265*5%</f>
        <v>3429.1400000000003</v>
      </c>
      <c r="L265" s="121"/>
      <c r="M265" s="121">
        <v>0</v>
      </c>
      <c r="N265" s="196">
        <f>H265</f>
        <v>12344.904</v>
      </c>
      <c r="O265" s="121">
        <f>I265-SUM(J265:N265)</f>
        <v>64467.831999999995</v>
      </c>
      <c r="P265" s="177"/>
      <c r="Q265" s="149"/>
      <c r="R265" s="119"/>
      <c r="S265" s="121">
        <v>300000</v>
      </c>
      <c r="T265" s="121">
        <v>285000</v>
      </c>
      <c r="U265" s="122" t="s">
        <v>216</v>
      </c>
      <c r="V265" s="119"/>
    </row>
    <row r="266" spans="1:22" ht="25" customHeight="1" x14ac:dyDescent="0.35">
      <c r="A266" s="116"/>
      <c r="B266" s="131" t="s">
        <v>243</v>
      </c>
      <c r="C266" s="120"/>
      <c r="D266" s="135">
        <v>25</v>
      </c>
      <c r="E266" s="121">
        <f>N265</f>
        <v>12344.904</v>
      </c>
      <c r="F266" s="119"/>
      <c r="G266" s="119"/>
      <c r="H266" s="119"/>
      <c r="I266" s="119"/>
      <c r="J266" s="119"/>
      <c r="K266" s="119"/>
      <c r="L266" s="119"/>
      <c r="M266" s="119"/>
      <c r="N266" s="149"/>
      <c r="O266" s="198">
        <f>E266</f>
        <v>12344.904</v>
      </c>
      <c r="P266" s="131"/>
      <c r="Q266" s="149"/>
      <c r="R266" s="119"/>
      <c r="S266" s="121">
        <v>500000</v>
      </c>
      <c r="T266" s="121">
        <v>495000</v>
      </c>
      <c r="U266" s="122" t="s">
        <v>228</v>
      </c>
      <c r="V266" s="119"/>
    </row>
    <row r="267" spans="1:22" ht="25" customHeight="1" x14ac:dyDescent="0.35">
      <c r="A267" s="116"/>
      <c r="B267" s="131" t="s">
        <v>186</v>
      </c>
      <c r="C267" s="120">
        <v>45641</v>
      </c>
      <c r="D267" s="135">
        <v>107</v>
      </c>
      <c r="E267" s="121">
        <v>1349000</v>
      </c>
      <c r="F267" s="121">
        <v>135527</v>
      </c>
      <c r="G267" s="121">
        <f>E267-F267</f>
        <v>1213473</v>
      </c>
      <c r="H267" s="121">
        <f>G267*18%</f>
        <v>218425.13999999998</v>
      </c>
      <c r="I267" s="121">
        <f>G267+H267</f>
        <v>1431898.14</v>
      </c>
      <c r="J267" s="121">
        <f>G267*1%</f>
        <v>12134.73</v>
      </c>
      <c r="K267" s="121">
        <f>G267*5%</f>
        <v>60673.65</v>
      </c>
      <c r="L267" s="121"/>
      <c r="M267" s="121">
        <v>0</v>
      </c>
      <c r="N267" s="196">
        <f>H267</f>
        <v>218425.13999999998</v>
      </c>
      <c r="O267" s="121">
        <f>I267-SUM(J267:N267)</f>
        <v>1140664.6199999999</v>
      </c>
      <c r="P267" s="131"/>
      <c r="Q267" s="149"/>
      <c r="R267" s="119"/>
      <c r="S267" s="121">
        <v>100000</v>
      </c>
      <c r="T267" s="121">
        <v>99000</v>
      </c>
      <c r="U267" s="122" t="s">
        <v>402</v>
      </c>
      <c r="V267" s="119"/>
    </row>
    <row r="268" spans="1:22" ht="25" customHeight="1" thickBot="1" x14ac:dyDescent="0.4">
      <c r="A268" s="126"/>
      <c r="B268" s="144" t="s">
        <v>243</v>
      </c>
      <c r="C268" s="192"/>
      <c r="D268" s="193">
        <v>107</v>
      </c>
      <c r="E268" s="189">
        <f>N267</f>
        <v>218425.13999999998</v>
      </c>
      <c r="F268" s="143"/>
      <c r="G268" s="143"/>
      <c r="H268" s="143"/>
      <c r="I268" s="143"/>
      <c r="J268" s="143"/>
      <c r="K268" s="143"/>
      <c r="L268" s="143"/>
      <c r="M268" s="143"/>
      <c r="N268" s="207"/>
      <c r="O268" s="228">
        <f>E268</f>
        <v>218425.13999999998</v>
      </c>
      <c r="P268" s="144"/>
      <c r="Q268" s="207"/>
      <c r="R268" s="143"/>
      <c r="S268" s="143"/>
      <c r="T268" s="143"/>
      <c r="U268" s="232"/>
      <c r="V268" s="143"/>
    </row>
    <row r="269" spans="1:22" ht="25" customHeight="1" thickBot="1" x14ac:dyDescent="0.4">
      <c r="A269" s="215">
        <v>62071</v>
      </c>
      <c r="B269" s="269"/>
      <c r="C269" s="217"/>
      <c r="D269" s="218"/>
      <c r="E269" s="219"/>
      <c r="F269" s="219"/>
      <c r="G269" s="219"/>
      <c r="H269" s="219"/>
      <c r="I269" s="219"/>
      <c r="J269" s="219"/>
      <c r="K269" s="219"/>
      <c r="L269" s="219"/>
      <c r="M269" s="219"/>
      <c r="N269" s="220"/>
      <c r="O269" s="219"/>
      <c r="P269" s="221">
        <f>A269</f>
        <v>62071</v>
      </c>
      <c r="Q269" s="220"/>
      <c r="R269" s="219"/>
      <c r="S269" s="219"/>
      <c r="T269" s="219"/>
      <c r="U269" s="222"/>
      <c r="V269" s="219"/>
    </row>
    <row r="270" spans="1:22" ht="25" customHeight="1" x14ac:dyDescent="0.35">
      <c r="A270" s="213">
        <v>3675000</v>
      </c>
      <c r="B270" s="214" t="s">
        <v>184</v>
      </c>
      <c r="C270" s="199">
        <v>45307</v>
      </c>
      <c r="D270" s="200" t="s">
        <v>283</v>
      </c>
      <c r="E270" s="176">
        <f>551250-183750</f>
        <v>367500</v>
      </c>
      <c r="F270" s="176">
        <v>365387.5</v>
      </c>
      <c r="G270" s="176">
        <f>E270-F270</f>
        <v>2112.5</v>
      </c>
      <c r="H270" s="176">
        <f>G270*18%</f>
        <v>380.25</v>
      </c>
      <c r="I270" s="176">
        <f>G270+H270</f>
        <v>2492.75</v>
      </c>
      <c r="J270" s="176">
        <f>G270*1%</f>
        <v>21.125</v>
      </c>
      <c r="K270" s="176">
        <f>G270*5%</f>
        <v>105.625</v>
      </c>
      <c r="L270" s="176"/>
      <c r="M270" s="176"/>
      <c r="N270" s="224">
        <f>H270</f>
        <v>380.25</v>
      </c>
      <c r="O270" s="176">
        <f>I270-SUM(J270:N270)</f>
        <v>1985.75</v>
      </c>
      <c r="P270" s="172"/>
      <c r="Q270" s="153">
        <v>3675000</v>
      </c>
      <c r="R270" s="175">
        <f>Q270-SUM(S270:S277)</f>
        <v>75000</v>
      </c>
      <c r="S270" s="176">
        <v>500000</v>
      </c>
      <c r="T270" s="176">
        <v>475000</v>
      </c>
      <c r="U270" s="229" t="s">
        <v>212</v>
      </c>
      <c r="V270" s="175">
        <f>SUM(O270:O277)-SUM(S270:S277)</f>
        <v>-2568634</v>
      </c>
    </row>
    <row r="271" spans="1:22" ht="25" customHeight="1" x14ac:dyDescent="0.35">
      <c r="A271" s="116"/>
      <c r="B271" s="131" t="s">
        <v>243</v>
      </c>
      <c r="C271" s="120"/>
      <c r="D271" s="135" t="s">
        <v>283</v>
      </c>
      <c r="E271" s="121">
        <f>N270</f>
        <v>380.25</v>
      </c>
      <c r="F271" s="119"/>
      <c r="G271" s="119"/>
      <c r="H271" s="119"/>
      <c r="I271" s="119"/>
      <c r="J271" s="119"/>
      <c r="K271" s="119"/>
      <c r="L271" s="119"/>
      <c r="M271" s="119"/>
      <c r="N271" s="149"/>
      <c r="O271" s="198">
        <f>E271</f>
        <v>380.25</v>
      </c>
      <c r="P271" s="131"/>
      <c r="Q271" s="149"/>
      <c r="R271" s="119"/>
      <c r="S271" s="121">
        <v>400000</v>
      </c>
      <c r="T271" s="121">
        <v>380000</v>
      </c>
      <c r="U271" s="122" t="s">
        <v>214</v>
      </c>
      <c r="V271" s="119"/>
    </row>
    <row r="272" spans="1:22" ht="25" customHeight="1" x14ac:dyDescent="0.35">
      <c r="A272" s="116"/>
      <c r="B272" s="131" t="s">
        <v>184</v>
      </c>
      <c r="C272" s="120">
        <v>45646</v>
      </c>
      <c r="D272" s="135">
        <v>111</v>
      </c>
      <c r="E272" s="121">
        <v>918750</v>
      </c>
      <c r="F272" s="121">
        <v>0</v>
      </c>
      <c r="G272" s="121">
        <f>E272-F272</f>
        <v>918750</v>
      </c>
      <c r="H272" s="121">
        <f>G272*18%</f>
        <v>165375</v>
      </c>
      <c r="I272" s="121">
        <f>G272+H272</f>
        <v>1084125</v>
      </c>
      <c r="J272" s="121">
        <f>G272*1%</f>
        <v>9187.5</v>
      </c>
      <c r="K272" s="121">
        <f>G272*5%</f>
        <v>45937.5</v>
      </c>
      <c r="L272" s="121"/>
      <c r="M272" s="121"/>
      <c r="N272" s="196">
        <f>H272</f>
        <v>165375</v>
      </c>
      <c r="O272" s="121">
        <f>I272-SUM(J272:N272)</f>
        <v>863625</v>
      </c>
      <c r="P272" s="131"/>
      <c r="Q272" s="149"/>
      <c r="R272" s="119"/>
      <c r="S272" s="121">
        <v>1000000</v>
      </c>
      <c r="T272" s="121">
        <v>990000</v>
      </c>
      <c r="U272" s="122" t="s">
        <v>231</v>
      </c>
      <c r="V272" s="119"/>
    </row>
    <row r="273" spans="1:22" ht="25" customHeight="1" x14ac:dyDescent="0.35">
      <c r="A273" s="116"/>
      <c r="B273" s="131" t="s">
        <v>243</v>
      </c>
      <c r="C273" s="120"/>
      <c r="D273" s="135">
        <v>111</v>
      </c>
      <c r="E273" s="121">
        <f>N272</f>
        <v>165375</v>
      </c>
      <c r="F273" s="119"/>
      <c r="G273" s="119"/>
      <c r="H273" s="119"/>
      <c r="I273" s="119"/>
      <c r="J273" s="119"/>
      <c r="K273" s="119"/>
      <c r="L273" s="119"/>
      <c r="M273" s="119"/>
      <c r="N273" s="149"/>
      <c r="O273" s="198">
        <f>E273</f>
        <v>165375</v>
      </c>
      <c r="P273" s="131"/>
      <c r="Q273" s="149"/>
      <c r="R273" s="119"/>
      <c r="S273" s="121">
        <v>500000</v>
      </c>
      <c r="T273" s="121">
        <v>495000</v>
      </c>
      <c r="U273" s="122" t="s">
        <v>262</v>
      </c>
      <c r="V273" s="119"/>
    </row>
    <row r="274" spans="1:22" ht="25" customHeight="1" x14ac:dyDescent="0.35">
      <c r="A274" s="116"/>
      <c r="B274" s="131"/>
      <c r="C274" s="114"/>
      <c r="D274" s="118"/>
      <c r="E274" s="119"/>
      <c r="F274" s="119"/>
      <c r="G274" s="119"/>
      <c r="H274" s="119"/>
      <c r="I274" s="119"/>
      <c r="J274" s="119"/>
      <c r="K274" s="119"/>
      <c r="L274" s="119"/>
      <c r="M274" s="119"/>
      <c r="N274" s="149"/>
      <c r="O274" s="119"/>
      <c r="P274" s="131"/>
      <c r="Q274" s="149"/>
      <c r="R274" s="119"/>
      <c r="S274" s="121">
        <v>300000</v>
      </c>
      <c r="T274" s="121">
        <v>297000</v>
      </c>
      <c r="U274" s="122" t="s">
        <v>296</v>
      </c>
      <c r="V274" s="119"/>
    </row>
    <row r="275" spans="1:22" ht="25" customHeight="1" x14ac:dyDescent="0.35">
      <c r="A275" s="116"/>
      <c r="B275" s="131"/>
      <c r="C275" s="114"/>
      <c r="D275" s="118"/>
      <c r="E275" s="119"/>
      <c r="F275" s="119"/>
      <c r="G275" s="119"/>
      <c r="H275" s="119"/>
      <c r="I275" s="119"/>
      <c r="J275" s="119"/>
      <c r="K275" s="119"/>
      <c r="L275" s="119"/>
      <c r="M275" s="119"/>
      <c r="N275" s="149"/>
      <c r="O275" s="119"/>
      <c r="P275" s="131"/>
      <c r="Q275" s="149"/>
      <c r="R275" s="119"/>
      <c r="S275" s="121">
        <v>200000</v>
      </c>
      <c r="T275" s="121">
        <v>198000</v>
      </c>
      <c r="U275" s="122" t="s">
        <v>318</v>
      </c>
      <c r="V275" s="119"/>
    </row>
    <row r="276" spans="1:22" ht="25" customHeight="1" x14ac:dyDescent="0.35">
      <c r="A276" s="116"/>
      <c r="B276" s="131"/>
      <c r="C276" s="114"/>
      <c r="D276" s="118"/>
      <c r="E276" s="119"/>
      <c r="F276" s="119"/>
      <c r="G276" s="119"/>
      <c r="H276" s="119"/>
      <c r="I276" s="119"/>
      <c r="J276" s="119"/>
      <c r="K276" s="119"/>
      <c r="L276" s="119"/>
      <c r="M276" s="119"/>
      <c r="N276" s="149"/>
      <c r="O276" s="119"/>
      <c r="P276" s="131"/>
      <c r="Q276" s="149"/>
      <c r="R276" s="119"/>
      <c r="S276" s="121">
        <v>500000</v>
      </c>
      <c r="T276" s="121">
        <v>495000</v>
      </c>
      <c r="U276" s="122" t="s">
        <v>390</v>
      </c>
      <c r="V276" s="119"/>
    </row>
    <row r="277" spans="1:22" ht="25" customHeight="1" thickBot="1" x14ac:dyDescent="0.4">
      <c r="A277" s="126"/>
      <c r="B277" s="144"/>
      <c r="C277" s="178"/>
      <c r="D277" s="142"/>
      <c r="E277" s="143"/>
      <c r="F277" s="143"/>
      <c r="G277" s="143"/>
      <c r="H277" s="143"/>
      <c r="I277" s="143"/>
      <c r="J277" s="143"/>
      <c r="K277" s="143"/>
      <c r="L277" s="143"/>
      <c r="M277" s="143"/>
      <c r="N277" s="207"/>
      <c r="O277" s="143"/>
      <c r="P277" s="144"/>
      <c r="Q277" s="207"/>
      <c r="R277" s="143"/>
      <c r="S277" s="189">
        <v>200000</v>
      </c>
      <c r="T277" s="189">
        <v>198000</v>
      </c>
      <c r="U277" s="191" t="s">
        <v>424</v>
      </c>
      <c r="V277" s="143"/>
    </row>
    <row r="278" spans="1:22" ht="25" customHeight="1" thickBot="1" x14ac:dyDescent="0.4">
      <c r="A278" s="215">
        <v>62330</v>
      </c>
      <c r="B278" s="270"/>
      <c r="C278" s="217"/>
      <c r="D278" s="218"/>
      <c r="E278" s="219"/>
      <c r="F278" s="219"/>
      <c r="G278" s="219"/>
      <c r="H278" s="219"/>
      <c r="I278" s="219"/>
      <c r="J278" s="219"/>
      <c r="K278" s="219"/>
      <c r="L278" s="219"/>
      <c r="M278" s="219"/>
      <c r="N278" s="220"/>
      <c r="O278" s="219"/>
      <c r="P278" s="221">
        <f>A278</f>
        <v>62330</v>
      </c>
      <c r="Q278" s="220"/>
      <c r="R278" s="219"/>
      <c r="S278" s="219"/>
      <c r="T278" s="219"/>
      <c r="U278" s="222"/>
      <c r="V278" s="219"/>
    </row>
    <row r="279" spans="1:22" ht="25" customHeight="1" x14ac:dyDescent="0.35">
      <c r="A279" s="213">
        <v>3675000</v>
      </c>
      <c r="B279" s="271" t="s">
        <v>183</v>
      </c>
      <c r="C279" s="199">
        <v>45706</v>
      </c>
      <c r="D279" s="200">
        <v>129</v>
      </c>
      <c r="E279" s="176">
        <f>A279*38%</f>
        <v>1396500</v>
      </c>
      <c r="F279" s="176">
        <v>227069</v>
      </c>
      <c r="G279" s="176">
        <f>E279-F279</f>
        <v>1169431</v>
      </c>
      <c r="H279" s="176">
        <f>G279*18%</f>
        <v>210497.58</v>
      </c>
      <c r="I279" s="176">
        <f>G279+H279</f>
        <v>1379928.58</v>
      </c>
      <c r="J279" s="176">
        <f>G279*1%</f>
        <v>11694.31</v>
      </c>
      <c r="K279" s="176">
        <f>G279*5%</f>
        <v>58471.55</v>
      </c>
      <c r="L279" s="176"/>
      <c r="M279" s="176"/>
      <c r="N279" s="224">
        <f>H279</f>
        <v>210497.58</v>
      </c>
      <c r="O279" s="176">
        <f>I279-SUM(J279:N279)</f>
        <v>1099265.1400000001</v>
      </c>
      <c r="P279" s="241"/>
      <c r="Q279" s="153">
        <f>3675000*55%</f>
        <v>2021250.0000000002</v>
      </c>
      <c r="R279" s="175">
        <f>Q279-SUM(S279:S283)</f>
        <v>-1478749.9999999998</v>
      </c>
      <c r="S279" s="176">
        <v>500000</v>
      </c>
      <c r="T279" s="176">
        <v>495000</v>
      </c>
      <c r="U279" s="229" t="s">
        <v>202</v>
      </c>
      <c r="V279" s="175">
        <f>SUM(O279:O283)-SUM(S279:S283)</f>
        <v>-2190237.2799999998</v>
      </c>
    </row>
    <row r="280" spans="1:22" ht="25" customHeight="1" x14ac:dyDescent="0.35">
      <c r="A280" s="116"/>
      <c r="B280" s="272" t="s">
        <v>243</v>
      </c>
      <c r="C280" s="254"/>
      <c r="D280" s="135">
        <v>129</v>
      </c>
      <c r="E280" s="278">
        <f>N279</f>
        <v>210497.58</v>
      </c>
      <c r="F280" s="119"/>
      <c r="G280" s="119"/>
      <c r="H280" s="119"/>
      <c r="I280" s="119"/>
      <c r="J280" s="119"/>
      <c r="K280" s="119"/>
      <c r="L280" s="119"/>
      <c r="M280" s="119"/>
      <c r="N280" s="149"/>
      <c r="O280" s="196">
        <f>E280</f>
        <v>210497.58</v>
      </c>
      <c r="P280" s="131"/>
      <c r="Q280" s="149"/>
      <c r="R280" s="119"/>
      <c r="S280" s="121">
        <v>1000000</v>
      </c>
      <c r="T280" s="121">
        <v>990000</v>
      </c>
      <c r="U280" s="122" t="s">
        <v>208</v>
      </c>
      <c r="V280" s="119"/>
    </row>
    <row r="281" spans="1:22" ht="25" customHeight="1" x14ac:dyDescent="0.35">
      <c r="A281" s="116"/>
      <c r="B281" s="117"/>
      <c r="C281" s="114"/>
      <c r="D281" s="118"/>
      <c r="E281" s="119"/>
      <c r="F281" s="119"/>
      <c r="G281" s="119"/>
      <c r="H281" s="119"/>
      <c r="I281" s="119"/>
      <c r="J281" s="119"/>
      <c r="K281" s="119"/>
      <c r="L281" s="119"/>
      <c r="M281" s="119"/>
      <c r="N281" s="149"/>
      <c r="O281" s="119"/>
      <c r="P281" s="131"/>
      <c r="Q281" s="149"/>
      <c r="R281" s="119"/>
      <c r="S281" s="121">
        <v>1000000</v>
      </c>
      <c r="T281" s="121">
        <v>990000</v>
      </c>
      <c r="U281" s="122" t="s">
        <v>226</v>
      </c>
      <c r="V281" s="119"/>
    </row>
    <row r="282" spans="1:22" ht="25" customHeight="1" x14ac:dyDescent="0.35">
      <c r="A282" s="116"/>
      <c r="B282" s="117"/>
      <c r="C282" s="114"/>
      <c r="D282" s="118"/>
      <c r="E282" s="119"/>
      <c r="F282" s="119"/>
      <c r="G282" s="119"/>
      <c r="H282" s="119"/>
      <c r="I282" s="119"/>
      <c r="J282" s="119"/>
      <c r="K282" s="119"/>
      <c r="L282" s="119"/>
      <c r="M282" s="119"/>
      <c r="N282" s="149"/>
      <c r="O282" s="119"/>
      <c r="P282" s="131"/>
      <c r="Q282" s="149"/>
      <c r="R282" s="119"/>
      <c r="S282" s="121">
        <v>500000</v>
      </c>
      <c r="T282" s="121">
        <v>495000</v>
      </c>
      <c r="U282" s="122" t="s">
        <v>235</v>
      </c>
      <c r="V282" s="119"/>
    </row>
    <row r="283" spans="1:22" ht="25" customHeight="1" thickBot="1" x14ac:dyDescent="0.4">
      <c r="A283" s="126"/>
      <c r="B283" s="141"/>
      <c r="C283" s="178"/>
      <c r="D283" s="142"/>
      <c r="E283" s="143"/>
      <c r="F283" s="143"/>
      <c r="G283" s="143"/>
      <c r="H283" s="143"/>
      <c r="I283" s="143"/>
      <c r="J283" s="143"/>
      <c r="K283" s="143"/>
      <c r="L283" s="143"/>
      <c r="M283" s="143"/>
      <c r="N283" s="207"/>
      <c r="O283" s="143"/>
      <c r="P283" s="144"/>
      <c r="Q283" s="207"/>
      <c r="R283" s="143"/>
      <c r="S283" s="189">
        <v>500000</v>
      </c>
      <c r="T283" s="189">
        <v>495000</v>
      </c>
      <c r="U283" s="191" t="s">
        <v>263</v>
      </c>
      <c r="V283" s="143"/>
    </row>
    <row r="284" spans="1:22" ht="25" customHeight="1" thickBot="1" x14ac:dyDescent="0.4">
      <c r="A284" s="215">
        <v>62331</v>
      </c>
      <c r="B284" s="270"/>
      <c r="C284" s="217"/>
      <c r="D284" s="218"/>
      <c r="E284" s="219"/>
      <c r="F284" s="219"/>
      <c r="G284" s="219"/>
      <c r="H284" s="219"/>
      <c r="I284" s="219"/>
      <c r="J284" s="219"/>
      <c r="K284" s="219"/>
      <c r="L284" s="219"/>
      <c r="M284" s="219"/>
      <c r="N284" s="220"/>
      <c r="O284" s="219"/>
      <c r="P284" s="221">
        <f>A284</f>
        <v>62331</v>
      </c>
      <c r="Q284" s="220"/>
      <c r="R284" s="219"/>
      <c r="S284" s="219"/>
      <c r="T284" s="219"/>
      <c r="U284" s="222"/>
      <c r="V284" s="219"/>
    </row>
    <row r="285" spans="1:22" ht="25" customHeight="1" x14ac:dyDescent="0.35">
      <c r="A285" s="213">
        <v>5015000</v>
      </c>
      <c r="B285" s="271" t="s">
        <v>182</v>
      </c>
      <c r="C285" s="172"/>
      <c r="D285" s="174"/>
      <c r="E285" s="174"/>
      <c r="F285" s="175"/>
      <c r="G285" s="175"/>
      <c r="H285" s="175"/>
      <c r="I285" s="175"/>
      <c r="J285" s="175"/>
      <c r="K285" s="175"/>
      <c r="L285" s="175"/>
      <c r="M285" s="175"/>
      <c r="N285" s="153"/>
      <c r="O285" s="175"/>
      <c r="P285" s="175"/>
      <c r="Q285" s="153">
        <v>5015000</v>
      </c>
      <c r="R285" s="175">
        <f>Q285-SUM(S285:S293)</f>
        <v>15000</v>
      </c>
      <c r="S285" s="176">
        <v>500000</v>
      </c>
      <c r="T285" s="176">
        <v>495000</v>
      </c>
      <c r="U285" s="176" t="s">
        <v>203</v>
      </c>
      <c r="V285" s="175">
        <f>SUM(O285:O293)-SUM(S285:S293)</f>
        <v>-5000000</v>
      </c>
    </row>
    <row r="286" spans="1:22" ht="25" customHeight="1" x14ac:dyDescent="0.35">
      <c r="A286" s="116"/>
      <c r="B286" s="272" t="s">
        <v>334</v>
      </c>
      <c r="C286" s="117"/>
      <c r="D286" s="118" t="s">
        <v>163</v>
      </c>
      <c r="E286" s="118"/>
      <c r="F286" s="119"/>
      <c r="G286" s="119"/>
      <c r="H286" s="119"/>
      <c r="I286" s="119"/>
      <c r="J286" s="119"/>
      <c r="K286" s="119"/>
      <c r="L286" s="119"/>
      <c r="M286" s="119"/>
      <c r="N286" s="149"/>
      <c r="O286" s="119"/>
      <c r="P286" s="119"/>
      <c r="Q286" s="155"/>
      <c r="R286" s="131"/>
      <c r="S286" s="121">
        <v>500000</v>
      </c>
      <c r="T286" s="121">
        <v>495000</v>
      </c>
      <c r="U286" s="121" t="s">
        <v>206</v>
      </c>
      <c r="V286" s="119"/>
    </row>
    <row r="287" spans="1:22" ht="25" customHeight="1" x14ac:dyDescent="0.35">
      <c r="A287" s="116"/>
      <c r="B287" s="272"/>
      <c r="C287" s="117"/>
      <c r="D287" s="118"/>
      <c r="E287" s="118"/>
      <c r="F287" s="119"/>
      <c r="G287" s="119"/>
      <c r="H287" s="119"/>
      <c r="I287" s="119"/>
      <c r="J287" s="119"/>
      <c r="K287" s="119"/>
      <c r="L287" s="119"/>
      <c r="M287" s="119"/>
      <c r="N287" s="149"/>
      <c r="O287" s="119"/>
      <c r="P287" s="119"/>
      <c r="Q287" s="155"/>
      <c r="R287" s="131"/>
      <c r="S287" s="121">
        <v>1000000</v>
      </c>
      <c r="T287" s="121">
        <v>990000</v>
      </c>
      <c r="U287" s="121" t="s">
        <v>207</v>
      </c>
      <c r="V287" s="119"/>
    </row>
    <row r="288" spans="1:22" ht="25" customHeight="1" x14ac:dyDescent="0.35">
      <c r="A288" s="116"/>
      <c r="B288" s="272"/>
      <c r="C288" s="117"/>
      <c r="D288" s="118"/>
      <c r="E288" s="118"/>
      <c r="F288" s="119"/>
      <c r="G288" s="119"/>
      <c r="H288" s="119"/>
      <c r="I288" s="119"/>
      <c r="J288" s="119"/>
      <c r="K288" s="119"/>
      <c r="L288" s="119"/>
      <c r="M288" s="119"/>
      <c r="N288" s="149"/>
      <c r="O288" s="119"/>
      <c r="P288" s="119"/>
      <c r="Q288" s="155"/>
      <c r="R288" s="131"/>
      <c r="S288" s="121">
        <v>500000</v>
      </c>
      <c r="T288" s="121">
        <v>475000</v>
      </c>
      <c r="U288" s="121" t="s">
        <v>223</v>
      </c>
      <c r="V288" s="119"/>
    </row>
    <row r="289" spans="1:22" ht="25" customHeight="1" x14ac:dyDescent="0.35">
      <c r="A289" s="116"/>
      <c r="B289" s="272"/>
      <c r="C289" s="117"/>
      <c r="D289" s="118"/>
      <c r="E289" s="118"/>
      <c r="F289" s="119"/>
      <c r="G289" s="119"/>
      <c r="H289" s="119"/>
      <c r="I289" s="119"/>
      <c r="J289" s="119"/>
      <c r="K289" s="119"/>
      <c r="L289" s="119"/>
      <c r="M289" s="119"/>
      <c r="N289" s="149"/>
      <c r="O289" s="119"/>
      <c r="P289" s="119"/>
      <c r="Q289" s="155"/>
      <c r="R289" s="131"/>
      <c r="S289" s="121">
        <v>1000000</v>
      </c>
      <c r="T289" s="121">
        <v>990000</v>
      </c>
      <c r="U289" s="121" t="s">
        <v>227</v>
      </c>
      <c r="V289" s="119"/>
    </row>
    <row r="290" spans="1:22" ht="25" customHeight="1" x14ac:dyDescent="0.35">
      <c r="A290" s="116"/>
      <c r="B290" s="272"/>
      <c r="C290" s="117"/>
      <c r="D290" s="118"/>
      <c r="E290" s="118"/>
      <c r="F290" s="119"/>
      <c r="G290" s="119"/>
      <c r="H290" s="119"/>
      <c r="I290" s="119"/>
      <c r="J290" s="119"/>
      <c r="K290" s="119"/>
      <c r="L290" s="119"/>
      <c r="M290" s="119"/>
      <c r="N290" s="149"/>
      <c r="O290" s="119"/>
      <c r="P290" s="119"/>
      <c r="Q290" s="155"/>
      <c r="R290" s="131"/>
      <c r="S290" s="121">
        <v>500000</v>
      </c>
      <c r="T290" s="121">
        <v>495000</v>
      </c>
      <c r="U290" s="121" t="s">
        <v>234</v>
      </c>
      <c r="V290" s="119"/>
    </row>
    <row r="291" spans="1:22" ht="25" customHeight="1" x14ac:dyDescent="0.35">
      <c r="A291" s="116"/>
      <c r="B291" s="272"/>
      <c r="C291" s="117"/>
      <c r="D291" s="118"/>
      <c r="E291" s="118"/>
      <c r="F291" s="119"/>
      <c r="G291" s="119"/>
      <c r="H291" s="119"/>
      <c r="I291" s="119"/>
      <c r="J291" s="119"/>
      <c r="K291" s="119"/>
      <c r="L291" s="119"/>
      <c r="M291" s="119"/>
      <c r="N291" s="149"/>
      <c r="O291" s="119"/>
      <c r="P291" s="119"/>
      <c r="Q291" s="155"/>
      <c r="R291" s="131"/>
      <c r="S291" s="121">
        <v>500000</v>
      </c>
      <c r="T291" s="121">
        <v>495000</v>
      </c>
      <c r="U291" s="121" t="s">
        <v>264</v>
      </c>
      <c r="V291" s="119"/>
    </row>
    <row r="292" spans="1:22" ht="25" customHeight="1" x14ac:dyDescent="0.35">
      <c r="A292" s="116"/>
      <c r="B292" s="272"/>
      <c r="C292" s="117"/>
      <c r="D292" s="118"/>
      <c r="E292" s="118"/>
      <c r="F292" s="119"/>
      <c r="G292" s="119"/>
      <c r="H292" s="119"/>
      <c r="I292" s="119"/>
      <c r="J292" s="119"/>
      <c r="K292" s="119"/>
      <c r="L292" s="119"/>
      <c r="M292" s="119"/>
      <c r="N292" s="149"/>
      <c r="O292" s="119"/>
      <c r="P292" s="119"/>
      <c r="Q292" s="155"/>
      <c r="R292" s="131"/>
      <c r="S292" s="121">
        <v>300000</v>
      </c>
      <c r="T292" s="121">
        <v>297000</v>
      </c>
      <c r="U292" s="121" t="s">
        <v>317</v>
      </c>
      <c r="V292" s="119"/>
    </row>
    <row r="293" spans="1:22" ht="25" customHeight="1" thickBot="1" x14ac:dyDescent="0.4">
      <c r="A293" s="126"/>
      <c r="B293" s="273"/>
      <c r="C293" s="141"/>
      <c r="D293" s="142"/>
      <c r="E293" s="142"/>
      <c r="F293" s="143"/>
      <c r="G293" s="143"/>
      <c r="H293" s="143"/>
      <c r="I293" s="143"/>
      <c r="J293" s="143"/>
      <c r="K293" s="143"/>
      <c r="L293" s="143"/>
      <c r="M293" s="143"/>
      <c r="N293" s="207"/>
      <c r="O293" s="143"/>
      <c r="P293" s="143"/>
      <c r="Q293" s="156"/>
      <c r="R293" s="144"/>
      <c r="S293" s="189">
        <v>200000</v>
      </c>
      <c r="T293" s="189">
        <v>198000</v>
      </c>
      <c r="U293" s="189" t="s">
        <v>379</v>
      </c>
      <c r="V293" s="143"/>
    </row>
    <row r="294" spans="1:22" ht="25" customHeight="1" thickBot="1" x14ac:dyDescent="0.4">
      <c r="A294" s="215">
        <v>62332</v>
      </c>
      <c r="B294" s="270"/>
      <c r="C294" s="217"/>
      <c r="D294" s="218"/>
      <c r="E294" s="219"/>
      <c r="F294" s="219"/>
      <c r="G294" s="219"/>
      <c r="H294" s="219"/>
      <c r="I294" s="219"/>
      <c r="J294" s="219"/>
      <c r="K294" s="219"/>
      <c r="L294" s="219"/>
      <c r="M294" s="219"/>
      <c r="N294" s="220"/>
      <c r="O294" s="219"/>
      <c r="P294" s="221">
        <f>A294</f>
        <v>62332</v>
      </c>
      <c r="Q294" s="220"/>
      <c r="R294" s="219"/>
      <c r="S294" s="219"/>
      <c r="T294" s="219"/>
      <c r="U294" s="222"/>
      <c r="V294" s="219"/>
    </row>
    <row r="295" spans="1:22" ht="25" customHeight="1" x14ac:dyDescent="0.35">
      <c r="A295" s="213">
        <v>1365000</v>
      </c>
      <c r="B295" s="271" t="s">
        <v>181</v>
      </c>
      <c r="C295" s="199">
        <v>45636</v>
      </c>
      <c r="D295" s="200">
        <v>102</v>
      </c>
      <c r="E295" s="176">
        <v>614250</v>
      </c>
      <c r="F295" s="176">
        <v>0</v>
      </c>
      <c r="G295" s="176">
        <f>E295-F295</f>
        <v>614250</v>
      </c>
      <c r="H295" s="176">
        <f>G295*18%</f>
        <v>110565</v>
      </c>
      <c r="I295" s="176">
        <f>G295+H295</f>
        <v>724815</v>
      </c>
      <c r="J295" s="176">
        <f>G295*1%</f>
        <v>6142.5</v>
      </c>
      <c r="K295" s="176">
        <f>G295*5%</f>
        <v>30712.5</v>
      </c>
      <c r="L295" s="176"/>
      <c r="M295" s="176"/>
      <c r="N295" s="224">
        <f>H295</f>
        <v>110565</v>
      </c>
      <c r="O295" s="176">
        <f>I295-SUM(J295:N295)</f>
        <v>577395</v>
      </c>
      <c r="P295" s="175"/>
      <c r="Q295" s="242">
        <v>1365000</v>
      </c>
      <c r="R295" s="175">
        <f>Q295-SUM(S295:S298)</f>
        <v>65000</v>
      </c>
      <c r="S295" s="176">
        <v>500000</v>
      </c>
      <c r="T295" s="176">
        <v>495000</v>
      </c>
      <c r="U295" s="176" t="s">
        <v>204</v>
      </c>
      <c r="V295" s="175">
        <f>SUM(O295:O298)-SUM(S295:S298)</f>
        <v>-612040</v>
      </c>
    </row>
    <row r="296" spans="1:22" ht="25" customHeight="1" x14ac:dyDescent="0.35">
      <c r="A296" s="116"/>
      <c r="B296" s="272" t="s">
        <v>243</v>
      </c>
      <c r="C296" s="254"/>
      <c r="D296" s="135">
        <v>102</v>
      </c>
      <c r="E296" s="278">
        <f>N295</f>
        <v>110565</v>
      </c>
      <c r="F296" s="119"/>
      <c r="G296" s="119"/>
      <c r="H296" s="119"/>
      <c r="I296" s="119"/>
      <c r="J296" s="119"/>
      <c r="K296" s="119"/>
      <c r="L296" s="119"/>
      <c r="M296" s="119"/>
      <c r="N296" s="149"/>
      <c r="O296" s="196">
        <f>E296</f>
        <v>110565</v>
      </c>
      <c r="P296" s="119"/>
      <c r="Q296" s="155"/>
      <c r="R296" s="131"/>
      <c r="S296" s="121">
        <v>500000</v>
      </c>
      <c r="T296" s="121">
        <v>475000</v>
      </c>
      <c r="U296" s="121" t="s">
        <v>222</v>
      </c>
      <c r="V296" s="119"/>
    </row>
    <row r="297" spans="1:22" ht="25" customHeight="1" x14ac:dyDescent="0.35">
      <c r="A297" s="116"/>
      <c r="B297" s="272"/>
      <c r="C297" s="117"/>
      <c r="D297" s="118"/>
      <c r="E297" s="118"/>
      <c r="F297" s="119"/>
      <c r="G297" s="119"/>
      <c r="H297" s="119"/>
      <c r="I297" s="119"/>
      <c r="J297" s="119"/>
      <c r="K297" s="119"/>
      <c r="L297" s="119"/>
      <c r="M297" s="119"/>
      <c r="N297" s="149"/>
      <c r="O297" s="119"/>
      <c r="P297" s="119"/>
      <c r="Q297" s="155"/>
      <c r="R297" s="131"/>
      <c r="S297" s="121">
        <v>200000</v>
      </c>
      <c r="T297" s="121">
        <v>198000</v>
      </c>
      <c r="U297" s="121" t="s">
        <v>316</v>
      </c>
      <c r="V297" s="119"/>
    </row>
    <row r="298" spans="1:22" ht="25" customHeight="1" thickBot="1" x14ac:dyDescent="0.4">
      <c r="A298" s="126"/>
      <c r="B298" s="273"/>
      <c r="C298" s="141"/>
      <c r="D298" s="142"/>
      <c r="E298" s="142"/>
      <c r="F298" s="143"/>
      <c r="G298" s="143"/>
      <c r="H298" s="143"/>
      <c r="I298" s="143"/>
      <c r="J298" s="143"/>
      <c r="K298" s="143"/>
      <c r="L298" s="143"/>
      <c r="M298" s="143"/>
      <c r="N298" s="207"/>
      <c r="O298" s="143"/>
      <c r="P298" s="143"/>
      <c r="Q298" s="156"/>
      <c r="R298" s="144"/>
      <c r="S298" s="189">
        <v>100000</v>
      </c>
      <c r="T298" s="189">
        <v>99000</v>
      </c>
      <c r="U298" s="189" t="s">
        <v>388</v>
      </c>
      <c r="V298" s="143"/>
    </row>
    <row r="299" spans="1:22" ht="25" customHeight="1" thickBot="1" x14ac:dyDescent="0.4">
      <c r="A299" s="215">
        <v>67779</v>
      </c>
      <c r="B299" s="270"/>
      <c r="C299" s="217"/>
      <c r="D299" s="218"/>
      <c r="E299" s="219"/>
      <c r="F299" s="219"/>
      <c r="G299" s="219"/>
      <c r="H299" s="219"/>
      <c r="I299" s="219"/>
      <c r="J299" s="219"/>
      <c r="K299" s="219"/>
      <c r="L299" s="219"/>
      <c r="M299" s="219"/>
      <c r="N299" s="220"/>
      <c r="O299" s="219"/>
      <c r="P299" s="221">
        <f>A299</f>
        <v>67779</v>
      </c>
      <c r="Q299" s="220"/>
      <c r="R299" s="219"/>
      <c r="S299" s="219"/>
      <c r="T299" s="219"/>
      <c r="U299" s="222"/>
      <c r="V299" s="219"/>
    </row>
    <row r="300" spans="1:22" ht="25" customHeight="1" x14ac:dyDescent="0.35">
      <c r="A300" s="195"/>
      <c r="B300" s="274" t="s">
        <v>387</v>
      </c>
      <c r="C300" s="199">
        <v>45646</v>
      </c>
      <c r="D300" s="200">
        <v>112</v>
      </c>
      <c r="E300" s="176">
        <v>562886</v>
      </c>
      <c r="F300" s="176">
        <v>0</v>
      </c>
      <c r="G300" s="176">
        <f>E300-F300</f>
        <v>562886</v>
      </c>
      <c r="H300" s="176">
        <f>G300*18%</f>
        <v>101319.48</v>
      </c>
      <c r="I300" s="176">
        <f>G300+H300</f>
        <v>664205.48</v>
      </c>
      <c r="J300" s="176">
        <f>G300*1%</f>
        <v>5628.86</v>
      </c>
      <c r="K300" s="176">
        <f>G300*5%</f>
        <v>28144.300000000003</v>
      </c>
      <c r="L300" s="176"/>
      <c r="M300" s="176"/>
      <c r="N300" s="224">
        <f>H300</f>
        <v>101319.48</v>
      </c>
      <c r="O300" s="176">
        <f>I300-SUM(J300:N300)</f>
        <v>529112.84</v>
      </c>
      <c r="P300" s="188"/>
      <c r="Q300" s="242">
        <v>1410000</v>
      </c>
      <c r="R300" s="175">
        <f>Q300-SUM(S300:S302)</f>
        <v>-390000</v>
      </c>
      <c r="S300" s="176">
        <v>500000</v>
      </c>
      <c r="T300" s="176">
        <v>500000</v>
      </c>
      <c r="U300" s="279" t="s">
        <v>391</v>
      </c>
      <c r="V300" s="175">
        <f>SUM(O300:O302)-SUM(S300:S302)</f>
        <v>-1169567.6800000002</v>
      </c>
    </row>
    <row r="301" spans="1:22" ht="25" customHeight="1" x14ac:dyDescent="0.35">
      <c r="A301" s="126"/>
      <c r="B301" s="272" t="s">
        <v>243</v>
      </c>
      <c r="C301" s="254"/>
      <c r="D301" s="135">
        <v>112</v>
      </c>
      <c r="E301" s="278">
        <f>N300</f>
        <v>101319.48</v>
      </c>
      <c r="F301" s="119"/>
      <c r="G301" s="119"/>
      <c r="H301" s="119"/>
      <c r="I301" s="119"/>
      <c r="J301" s="119"/>
      <c r="K301" s="119"/>
      <c r="L301" s="119"/>
      <c r="M301" s="119"/>
      <c r="N301" s="149"/>
      <c r="O301" s="196">
        <f>E301</f>
        <v>101319.48</v>
      </c>
      <c r="P301" s="143"/>
      <c r="Q301" s="156"/>
      <c r="R301" s="144"/>
      <c r="S301" s="189">
        <v>800000</v>
      </c>
      <c r="T301" s="121">
        <v>792000</v>
      </c>
      <c r="U301" s="189" t="s">
        <v>410</v>
      </c>
      <c r="V301" s="143"/>
    </row>
    <row r="302" spans="1:22" ht="25" customHeight="1" thickBot="1" x14ac:dyDescent="0.4">
      <c r="A302" s="126"/>
      <c r="B302" s="273"/>
      <c r="C302" s="141"/>
      <c r="D302" s="142"/>
      <c r="E302" s="142"/>
      <c r="F302" s="143"/>
      <c r="G302" s="143"/>
      <c r="H302" s="143"/>
      <c r="I302" s="143"/>
      <c r="J302" s="143"/>
      <c r="K302" s="143"/>
      <c r="L302" s="143"/>
      <c r="M302" s="143"/>
      <c r="N302" s="243"/>
      <c r="O302" s="143"/>
      <c r="P302" s="143"/>
      <c r="Q302" s="156"/>
      <c r="R302" s="144"/>
      <c r="S302" s="189">
        <v>500000</v>
      </c>
      <c r="T302" s="189">
        <v>495000</v>
      </c>
      <c r="U302" s="189" t="s">
        <v>422</v>
      </c>
      <c r="V302" s="143"/>
    </row>
    <row r="303" spans="1:22" ht="25" customHeight="1" thickBot="1" x14ac:dyDescent="0.4">
      <c r="A303" s="215">
        <v>68043</v>
      </c>
      <c r="B303" s="270"/>
      <c r="C303" s="217"/>
      <c r="D303" s="218"/>
      <c r="E303" s="219"/>
      <c r="F303" s="219"/>
      <c r="G303" s="219"/>
      <c r="H303" s="219"/>
      <c r="I303" s="219"/>
      <c r="J303" s="219"/>
      <c r="K303" s="219"/>
      <c r="L303" s="219"/>
      <c r="M303" s="219"/>
      <c r="N303" s="220"/>
      <c r="O303" s="219"/>
      <c r="P303" s="221">
        <f>A303</f>
        <v>68043</v>
      </c>
      <c r="Q303" s="220"/>
      <c r="R303" s="219"/>
      <c r="S303" s="219"/>
      <c r="T303" s="219"/>
      <c r="U303" s="222"/>
      <c r="V303" s="219"/>
    </row>
    <row r="304" spans="1:22" ht="25" customHeight="1" x14ac:dyDescent="0.35">
      <c r="A304" s="195">
        <v>3675000</v>
      </c>
      <c r="B304" s="274" t="s">
        <v>394</v>
      </c>
      <c r="C304" s="199">
        <v>45722</v>
      </c>
      <c r="D304" s="200">
        <v>133</v>
      </c>
      <c r="E304" s="176">
        <v>918750</v>
      </c>
      <c r="F304" s="176">
        <v>0</v>
      </c>
      <c r="G304" s="176">
        <f>E304-F304</f>
        <v>918750</v>
      </c>
      <c r="H304" s="176">
        <f>G304*18%</f>
        <v>165375</v>
      </c>
      <c r="I304" s="176">
        <f>G304+H304</f>
        <v>1084125</v>
      </c>
      <c r="J304" s="176">
        <f>G304*1%</f>
        <v>9187.5</v>
      </c>
      <c r="K304" s="176">
        <f>G304*5%</f>
        <v>45937.5</v>
      </c>
      <c r="L304" s="176"/>
      <c r="M304" s="176"/>
      <c r="N304" s="224">
        <f>H304</f>
        <v>165375</v>
      </c>
      <c r="O304" s="176">
        <f>I304-SUM(J304:N304)</f>
        <v>863625</v>
      </c>
      <c r="P304" s="188"/>
      <c r="Q304" s="242">
        <f>3675000*85%</f>
        <v>3123750</v>
      </c>
      <c r="R304" s="175">
        <f>Q304-SUM(S304:S307)</f>
        <v>-876250</v>
      </c>
      <c r="S304" s="176">
        <v>1000000</v>
      </c>
      <c r="T304" s="176">
        <v>990000</v>
      </c>
      <c r="U304" s="279" t="s">
        <v>395</v>
      </c>
      <c r="V304" s="175">
        <f>SUM(O304:O307)-SUM(S304:S307)</f>
        <v>-2971000</v>
      </c>
    </row>
    <row r="305" spans="1:22" ht="25" customHeight="1" x14ac:dyDescent="0.35">
      <c r="A305" s="126"/>
      <c r="B305" s="272" t="s">
        <v>243</v>
      </c>
      <c r="C305" s="254"/>
      <c r="D305" s="135">
        <v>133</v>
      </c>
      <c r="E305" s="278">
        <f>N304</f>
        <v>165375</v>
      </c>
      <c r="F305" s="119"/>
      <c r="G305" s="119"/>
      <c r="H305" s="119"/>
      <c r="I305" s="119"/>
      <c r="J305" s="119"/>
      <c r="K305" s="119"/>
      <c r="L305" s="119"/>
      <c r="M305" s="119"/>
      <c r="N305" s="149"/>
      <c r="O305" s="196">
        <f>E305</f>
        <v>165375</v>
      </c>
      <c r="P305" s="143"/>
      <c r="Q305" s="155"/>
      <c r="R305" s="119"/>
      <c r="S305" s="121">
        <v>1000000</v>
      </c>
      <c r="T305" s="121">
        <v>990000</v>
      </c>
      <c r="U305" s="189" t="s">
        <v>455</v>
      </c>
      <c r="V305" s="119"/>
    </row>
    <row r="306" spans="1:22" ht="25" customHeight="1" x14ac:dyDescent="0.35">
      <c r="A306" s="126"/>
      <c r="B306" s="272"/>
      <c r="C306" s="117"/>
      <c r="D306" s="118"/>
      <c r="E306" s="184"/>
      <c r="F306" s="119"/>
      <c r="G306" s="119"/>
      <c r="H306" s="119"/>
      <c r="I306" s="119"/>
      <c r="J306" s="119"/>
      <c r="K306" s="119"/>
      <c r="L306" s="119"/>
      <c r="M306" s="119"/>
      <c r="N306" s="149"/>
      <c r="O306" s="149"/>
      <c r="P306" s="143"/>
      <c r="Q306" s="155"/>
      <c r="R306" s="119"/>
      <c r="S306" s="121">
        <v>1000000</v>
      </c>
      <c r="T306" s="121">
        <v>990000</v>
      </c>
      <c r="U306" s="189" t="s">
        <v>461</v>
      </c>
      <c r="V306" s="119"/>
    </row>
    <row r="307" spans="1:22" ht="25" customHeight="1" thickBot="1" x14ac:dyDescent="0.4">
      <c r="A307" s="126"/>
      <c r="B307" s="273"/>
      <c r="C307" s="141"/>
      <c r="D307" s="142"/>
      <c r="E307" s="244"/>
      <c r="F307" s="143"/>
      <c r="G307" s="143"/>
      <c r="H307" s="143"/>
      <c r="I307" s="143"/>
      <c r="J307" s="143"/>
      <c r="K307" s="143"/>
      <c r="L307" s="143"/>
      <c r="M307" s="143"/>
      <c r="N307" s="207"/>
      <c r="O307" s="207"/>
      <c r="P307" s="143"/>
      <c r="Q307" s="156"/>
      <c r="R307" s="143"/>
      <c r="S307" s="189">
        <v>1000000</v>
      </c>
      <c r="T307" s="189">
        <v>990000</v>
      </c>
      <c r="U307" s="189" t="s">
        <v>465</v>
      </c>
      <c r="V307" s="143"/>
    </row>
    <row r="308" spans="1:22" ht="25" customHeight="1" thickBot="1" x14ac:dyDescent="0.4">
      <c r="A308" s="215">
        <v>68044</v>
      </c>
      <c r="B308" s="270"/>
      <c r="C308" s="217"/>
      <c r="D308" s="218"/>
      <c r="E308" s="219"/>
      <c r="F308" s="219"/>
      <c r="G308" s="219"/>
      <c r="H308" s="219"/>
      <c r="I308" s="219"/>
      <c r="J308" s="219"/>
      <c r="K308" s="219"/>
      <c r="L308" s="219"/>
      <c r="M308" s="219"/>
      <c r="N308" s="220"/>
      <c r="O308" s="219"/>
      <c r="P308" s="221">
        <f>A308</f>
        <v>68044</v>
      </c>
      <c r="Q308" s="220"/>
      <c r="R308" s="219"/>
      <c r="S308" s="219"/>
      <c r="T308" s="219"/>
      <c r="U308" s="222"/>
      <c r="V308" s="219"/>
    </row>
    <row r="309" spans="1:22" ht="25" customHeight="1" x14ac:dyDescent="0.35">
      <c r="A309" s="195"/>
      <c r="B309" s="274" t="s">
        <v>392</v>
      </c>
      <c r="C309" s="199">
        <v>45708</v>
      </c>
      <c r="D309" s="200">
        <v>131</v>
      </c>
      <c r="E309" s="176">
        <v>426562</v>
      </c>
      <c r="F309" s="176">
        <v>0</v>
      </c>
      <c r="G309" s="176">
        <f>E309-F309</f>
        <v>426562</v>
      </c>
      <c r="H309" s="176">
        <f>G309*18%</f>
        <v>76781.16</v>
      </c>
      <c r="I309" s="176">
        <f>G309+H309</f>
        <v>503343.16000000003</v>
      </c>
      <c r="J309" s="176">
        <f>G309*1%</f>
        <v>4265.62</v>
      </c>
      <c r="K309" s="176">
        <f>G309*5%</f>
        <v>21328.100000000002</v>
      </c>
      <c r="L309" s="176"/>
      <c r="M309" s="176"/>
      <c r="N309" s="224">
        <f>H309</f>
        <v>76781.16</v>
      </c>
      <c r="O309" s="176">
        <f>I309-SUM(J309:N309)</f>
        <v>400968.28</v>
      </c>
      <c r="P309" s="188"/>
      <c r="Q309" s="242">
        <f>1706250*85%</f>
        <v>1450312.5</v>
      </c>
      <c r="R309" s="175">
        <f>Q309-SUM(S309:S311)</f>
        <v>50312.5</v>
      </c>
      <c r="S309" s="176">
        <v>500000</v>
      </c>
      <c r="T309" s="176">
        <v>495000</v>
      </c>
      <c r="U309" s="279" t="s">
        <v>421</v>
      </c>
      <c r="V309" s="175">
        <f>SUM(O309:O311)-SUM(S309:S311)</f>
        <v>-922250.55999999994</v>
      </c>
    </row>
    <row r="310" spans="1:22" ht="25" customHeight="1" x14ac:dyDescent="0.35">
      <c r="A310" s="126"/>
      <c r="B310" s="272" t="s">
        <v>243</v>
      </c>
      <c r="C310" s="254"/>
      <c r="D310" s="135">
        <v>131</v>
      </c>
      <c r="E310" s="278">
        <f>N309</f>
        <v>76781.16</v>
      </c>
      <c r="F310" s="119"/>
      <c r="G310" s="119"/>
      <c r="H310" s="119"/>
      <c r="I310" s="119"/>
      <c r="J310" s="119"/>
      <c r="K310" s="119"/>
      <c r="L310" s="119"/>
      <c r="M310" s="119"/>
      <c r="N310" s="149"/>
      <c r="O310" s="196">
        <f>E310</f>
        <v>76781.16</v>
      </c>
      <c r="P310" s="143"/>
      <c r="Q310" s="155"/>
      <c r="R310" s="119"/>
      <c r="S310" s="121">
        <v>500000</v>
      </c>
      <c r="T310" s="121">
        <v>495000</v>
      </c>
      <c r="U310" s="189" t="s">
        <v>454</v>
      </c>
      <c r="V310" s="119"/>
    </row>
    <row r="311" spans="1:22" ht="25" customHeight="1" thickBot="1" x14ac:dyDescent="0.4">
      <c r="A311" s="126"/>
      <c r="B311" s="273"/>
      <c r="C311" s="141"/>
      <c r="D311" s="142"/>
      <c r="E311" s="244"/>
      <c r="F311" s="143"/>
      <c r="G311" s="143"/>
      <c r="H311" s="143"/>
      <c r="I311" s="143"/>
      <c r="J311" s="143"/>
      <c r="K311" s="143"/>
      <c r="L311" s="143"/>
      <c r="M311" s="143"/>
      <c r="N311" s="207"/>
      <c r="O311" s="207"/>
      <c r="P311" s="143"/>
      <c r="Q311" s="156"/>
      <c r="R311" s="143"/>
      <c r="S311" s="189">
        <v>400000</v>
      </c>
      <c r="T311" s="189">
        <v>396000</v>
      </c>
      <c r="U311" s="189" t="s">
        <v>472</v>
      </c>
      <c r="V311" s="143"/>
    </row>
    <row r="312" spans="1:22" ht="25" customHeight="1" thickBot="1" x14ac:dyDescent="0.4">
      <c r="A312" s="215">
        <v>68045</v>
      </c>
      <c r="B312" s="270"/>
      <c r="C312" s="217"/>
      <c r="D312" s="218"/>
      <c r="E312" s="219"/>
      <c r="F312" s="219"/>
      <c r="G312" s="219"/>
      <c r="H312" s="219"/>
      <c r="I312" s="219"/>
      <c r="J312" s="219"/>
      <c r="K312" s="219"/>
      <c r="L312" s="219"/>
      <c r="M312" s="219"/>
      <c r="N312" s="220"/>
      <c r="O312" s="219"/>
      <c r="P312" s="221">
        <f>A312</f>
        <v>68045</v>
      </c>
      <c r="Q312" s="220"/>
      <c r="R312" s="219"/>
      <c r="S312" s="219"/>
      <c r="T312" s="219"/>
      <c r="U312" s="222"/>
      <c r="V312" s="219"/>
    </row>
    <row r="313" spans="1:22" ht="38.25" customHeight="1" x14ac:dyDescent="0.35">
      <c r="A313" s="195"/>
      <c r="B313" s="274" t="s">
        <v>479</v>
      </c>
      <c r="C313" s="199">
        <v>45722</v>
      </c>
      <c r="D313" s="200">
        <v>134</v>
      </c>
      <c r="E313" s="176">
        <v>1597500</v>
      </c>
      <c r="F313" s="176">
        <v>149665</v>
      </c>
      <c r="G313" s="176">
        <f>E313-F313</f>
        <v>1447835</v>
      </c>
      <c r="H313" s="176">
        <f>G313*18%</f>
        <v>260610.3</v>
      </c>
      <c r="I313" s="176">
        <f>G313+H313</f>
        <v>1708445.3</v>
      </c>
      <c r="J313" s="176">
        <f>G313*1%</f>
        <v>14478.35</v>
      </c>
      <c r="K313" s="176">
        <f>G313*5%</f>
        <v>72391.75</v>
      </c>
      <c r="L313" s="176"/>
      <c r="M313" s="176"/>
      <c r="N313" s="224">
        <f>H313</f>
        <v>260610.3</v>
      </c>
      <c r="O313" s="176">
        <f>I313-SUM(J313:N313)</f>
        <v>1360964.9</v>
      </c>
      <c r="P313" s="188"/>
      <c r="Q313" s="242">
        <f>2250000*85%</f>
        <v>1912500</v>
      </c>
      <c r="R313" s="175">
        <f>Q313-SUM(S313:S315)</f>
        <v>12500</v>
      </c>
      <c r="S313" s="176">
        <v>1000000</v>
      </c>
      <c r="T313" s="176">
        <v>990000</v>
      </c>
      <c r="U313" s="279" t="s">
        <v>425</v>
      </c>
      <c r="V313" s="175">
        <f>SUM(O313:O315)-SUM(S313:S315)</f>
        <v>-278424.80000000005</v>
      </c>
    </row>
    <row r="314" spans="1:22" ht="25" customHeight="1" x14ac:dyDescent="0.35">
      <c r="A314" s="126"/>
      <c r="B314" s="272" t="s">
        <v>243</v>
      </c>
      <c r="C314" s="254"/>
      <c r="D314" s="135">
        <v>134</v>
      </c>
      <c r="E314" s="278">
        <f>N313</f>
        <v>260610.3</v>
      </c>
      <c r="F314" s="119"/>
      <c r="G314" s="119"/>
      <c r="H314" s="119"/>
      <c r="I314" s="119"/>
      <c r="J314" s="119"/>
      <c r="K314" s="119"/>
      <c r="L314" s="119"/>
      <c r="M314" s="119"/>
      <c r="N314" s="149"/>
      <c r="O314" s="196">
        <f>E314</f>
        <v>260610.3</v>
      </c>
      <c r="P314" s="143"/>
      <c r="Q314" s="156"/>
      <c r="R314" s="144"/>
      <c r="S314" s="189">
        <v>500000</v>
      </c>
      <c r="T314" s="189">
        <v>495000</v>
      </c>
      <c r="U314" s="189" t="s">
        <v>453</v>
      </c>
      <c r="V314" s="143"/>
    </row>
    <row r="315" spans="1:22" ht="25" customHeight="1" thickBot="1" x14ac:dyDescent="0.4">
      <c r="A315" s="126"/>
      <c r="B315" s="273"/>
      <c r="C315" s="141"/>
      <c r="D315" s="142"/>
      <c r="E315" s="244"/>
      <c r="F315" s="143"/>
      <c r="G315" s="143"/>
      <c r="H315" s="143"/>
      <c r="I315" s="143"/>
      <c r="J315" s="143"/>
      <c r="K315" s="143"/>
      <c r="L315" s="143"/>
      <c r="M315" s="143"/>
      <c r="N315" s="207"/>
      <c r="O315" s="207"/>
      <c r="P315" s="143"/>
      <c r="Q315" s="156"/>
      <c r="R315" s="144"/>
      <c r="S315" s="189">
        <v>400000</v>
      </c>
      <c r="T315" s="189">
        <v>396000</v>
      </c>
      <c r="U315" s="189" t="s">
        <v>471</v>
      </c>
      <c r="V315" s="143"/>
    </row>
    <row r="316" spans="1:22" ht="25" customHeight="1" thickBot="1" x14ac:dyDescent="0.4">
      <c r="A316" s="215">
        <v>68046</v>
      </c>
      <c r="B316" s="270"/>
      <c r="C316" s="217"/>
      <c r="D316" s="218"/>
      <c r="E316" s="219"/>
      <c r="F316" s="219"/>
      <c r="G316" s="219"/>
      <c r="H316" s="219"/>
      <c r="I316" s="219"/>
      <c r="J316" s="219"/>
      <c r="K316" s="219"/>
      <c r="L316" s="219"/>
      <c r="M316" s="219"/>
      <c r="N316" s="220"/>
      <c r="O316" s="219"/>
      <c r="P316" s="221">
        <f>A316</f>
        <v>68046</v>
      </c>
      <c r="Q316" s="220"/>
      <c r="R316" s="219"/>
      <c r="S316" s="219"/>
      <c r="T316" s="219"/>
      <c r="U316" s="222"/>
      <c r="V316" s="219"/>
    </row>
    <row r="317" spans="1:22" ht="25" customHeight="1" x14ac:dyDescent="0.35">
      <c r="A317" s="195"/>
      <c r="B317" s="274" t="s">
        <v>406</v>
      </c>
      <c r="C317" s="199">
        <v>45703</v>
      </c>
      <c r="D317" s="200">
        <v>125</v>
      </c>
      <c r="E317" s="176">
        <v>1268500</v>
      </c>
      <c r="F317" s="176">
        <v>221195</v>
      </c>
      <c r="G317" s="176">
        <f>E317-F317</f>
        <v>1047305</v>
      </c>
      <c r="H317" s="176">
        <f>G317*18%</f>
        <v>188514.9</v>
      </c>
      <c r="I317" s="176">
        <f>G317+H317</f>
        <v>1235819.8999999999</v>
      </c>
      <c r="J317" s="176">
        <f>G317*1%</f>
        <v>10473.050000000001</v>
      </c>
      <c r="K317" s="176">
        <f>G317*5%</f>
        <v>52365.25</v>
      </c>
      <c r="L317" s="176"/>
      <c r="M317" s="176"/>
      <c r="N317" s="224">
        <f>H317</f>
        <v>188514.9</v>
      </c>
      <c r="O317" s="176">
        <f>I317-SUM(J317:N317)</f>
        <v>984466.7</v>
      </c>
      <c r="P317" s="188"/>
      <c r="Q317" s="242">
        <f>2950000*65%</f>
        <v>1917500</v>
      </c>
      <c r="R317" s="175">
        <f>Q317-SUM(S317:S320)</f>
        <v>-82500</v>
      </c>
      <c r="S317" s="176">
        <v>500000</v>
      </c>
      <c r="T317" s="176">
        <v>495000</v>
      </c>
      <c r="U317" s="279" t="s">
        <v>420</v>
      </c>
      <c r="V317" s="175">
        <f>SUM(O317:O320)-SUM(S317:S320)</f>
        <v>-827018.40000000014</v>
      </c>
    </row>
    <row r="318" spans="1:22" ht="25" customHeight="1" x14ac:dyDescent="0.35">
      <c r="A318" s="126"/>
      <c r="B318" s="272" t="s">
        <v>243</v>
      </c>
      <c r="C318" s="254"/>
      <c r="D318" s="135">
        <v>125</v>
      </c>
      <c r="E318" s="278">
        <f>N317</f>
        <v>188514.9</v>
      </c>
      <c r="F318" s="119"/>
      <c r="G318" s="119"/>
      <c r="H318" s="119"/>
      <c r="I318" s="119"/>
      <c r="J318" s="119"/>
      <c r="K318" s="119"/>
      <c r="L318" s="119"/>
      <c r="M318" s="119"/>
      <c r="N318" s="149"/>
      <c r="O318" s="196">
        <f>E318</f>
        <v>188514.9</v>
      </c>
      <c r="P318" s="143"/>
      <c r="Q318" s="156"/>
      <c r="R318" s="144"/>
      <c r="S318" s="121">
        <v>500000</v>
      </c>
      <c r="T318" s="121">
        <v>400000</v>
      </c>
      <c r="U318" s="189" t="s">
        <v>439</v>
      </c>
      <c r="V318" s="143"/>
    </row>
    <row r="319" spans="1:22" ht="25" customHeight="1" x14ac:dyDescent="0.35">
      <c r="A319" s="126"/>
      <c r="B319" s="273"/>
      <c r="C319" s="141"/>
      <c r="D319" s="142"/>
      <c r="E319" s="142"/>
      <c r="F319" s="143"/>
      <c r="G319" s="143"/>
      <c r="H319" s="143"/>
      <c r="I319" s="143"/>
      <c r="J319" s="143"/>
      <c r="K319" s="143"/>
      <c r="L319" s="143"/>
      <c r="M319" s="143"/>
      <c r="N319" s="153"/>
      <c r="O319" s="143"/>
      <c r="P319" s="143"/>
      <c r="Q319" s="156"/>
      <c r="R319" s="144"/>
      <c r="S319" s="121">
        <v>500000</v>
      </c>
      <c r="T319" s="121">
        <v>495000</v>
      </c>
      <c r="U319" s="189" t="s">
        <v>446</v>
      </c>
      <c r="V319" s="143"/>
    </row>
    <row r="320" spans="1:22" ht="25" customHeight="1" thickBot="1" x14ac:dyDescent="0.4">
      <c r="A320" s="126"/>
      <c r="B320" s="273"/>
      <c r="C320" s="141"/>
      <c r="D320" s="142"/>
      <c r="E320" s="142"/>
      <c r="F320" s="143"/>
      <c r="G320" s="143"/>
      <c r="H320" s="143"/>
      <c r="I320" s="143"/>
      <c r="J320" s="143"/>
      <c r="K320" s="143"/>
      <c r="L320" s="143"/>
      <c r="M320" s="143"/>
      <c r="N320" s="243"/>
      <c r="O320" s="143"/>
      <c r="P320" s="143"/>
      <c r="Q320" s="156"/>
      <c r="R320" s="144"/>
      <c r="S320" s="189">
        <v>500000</v>
      </c>
      <c r="T320" s="189">
        <v>495000</v>
      </c>
      <c r="U320" s="189" t="s">
        <v>456</v>
      </c>
      <c r="V320" s="143"/>
    </row>
    <row r="321" spans="1:22" ht="25" customHeight="1" thickBot="1" x14ac:dyDescent="0.4">
      <c r="A321" s="215">
        <v>68047</v>
      </c>
      <c r="B321" s="270"/>
      <c r="C321" s="217"/>
      <c r="D321" s="218"/>
      <c r="E321" s="219"/>
      <c r="F321" s="219"/>
      <c r="G321" s="219"/>
      <c r="H321" s="219"/>
      <c r="I321" s="219"/>
      <c r="J321" s="219"/>
      <c r="K321" s="219"/>
      <c r="L321" s="219"/>
      <c r="M321" s="219"/>
      <c r="N321" s="220"/>
      <c r="O321" s="219"/>
      <c r="P321" s="221">
        <f>A321</f>
        <v>68047</v>
      </c>
      <c r="Q321" s="220"/>
      <c r="R321" s="219"/>
      <c r="S321" s="219"/>
      <c r="T321" s="219"/>
      <c r="U321" s="222"/>
      <c r="V321" s="219"/>
    </row>
    <row r="322" spans="1:22" ht="25" customHeight="1" x14ac:dyDescent="0.35">
      <c r="A322" s="195"/>
      <c r="B322" s="274" t="s">
        <v>405</v>
      </c>
      <c r="C322" s="199">
        <v>45659</v>
      </c>
      <c r="D322" s="200">
        <v>121</v>
      </c>
      <c r="E322" s="176">
        <v>294000</v>
      </c>
      <c r="F322" s="176">
        <v>0</v>
      </c>
      <c r="G322" s="176">
        <f>E322-F322</f>
        <v>294000</v>
      </c>
      <c r="H322" s="176">
        <f>G322*18%</f>
        <v>52920</v>
      </c>
      <c r="I322" s="176">
        <f>G322+H322</f>
        <v>346920</v>
      </c>
      <c r="J322" s="176">
        <f>G322*1%</f>
        <v>2940</v>
      </c>
      <c r="K322" s="176">
        <f>G322*5%</f>
        <v>14700</v>
      </c>
      <c r="L322" s="176"/>
      <c r="M322" s="176"/>
      <c r="N322" s="224">
        <f>H322</f>
        <v>52920</v>
      </c>
      <c r="O322" s="176">
        <f>I322-SUM(J322:N322)</f>
        <v>276360</v>
      </c>
      <c r="P322" s="188"/>
      <c r="Q322" s="242">
        <v>1960000</v>
      </c>
      <c r="R322" s="175">
        <f>Q322-SUM(S322:S325)</f>
        <v>60000</v>
      </c>
      <c r="S322" s="176">
        <v>500000</v>
      </c>
      <c r="T322" s="176">
        <v>495000</v>
      </c>
      <c r="U322" s="279" t="s">
        <v>419</v>
      </c>
      <c r="V322" s="175">
        <f>SUM(O322:O325)-SUM(S322:S325)</f>
        <v>-1570720</v>
      </c>
    </row>
    <row r="323" spans="1:22" ht="25" customHeight="1" x14ac:dyDescent="0.35">
      <c r="A323" s="126"/>
      <c r="B323" s="272" t="s">
        <v>243</v>
      </c>
      <c r="C323" s="254"/>
      <c r="D323" s="135">
        <v>121</v>
      </c>
      <c r="E323" s="278">
        <f>N322</f>
        <v>52920</v>
      </c>
      <c r="F323" s="119"/>
      <c r="G323" s="119"/>
      <c r="H323" s="119"/>
      <c r="I323" s="119"/>
      <c r="J323" s="119"/>
      <c r="K323" s="119"/>
      <c r="L323" s="119"/>
      <c r="M323" s="119"/>
      <c r="N323" s="149"/>
      <c r="O323" s="196">
        <f>E323</f>
        <v>52920</v>
      </c>
      <c r="P323" s="143"/>
      <c r="Q323" s="156"/>
      <c r="R323" s="144"/>
      <c r="S323" s="189">
        <v>500000</v>
      </c>
      <c r="T323" s="121">
        <v>495000</v>
      </c>
      <c r="U323" s="189" t="s">
        <v>423</v>
      </c>
      <c r="V323" s="143"/>
    </row>
    <row r="324" spans="1:22" ht="25" customHeight="1" x14ac:dyDescent="0.35">
      <c r="A324" s="126"/>
      <c r="B324" s="273"/>
      <c r="C324" s="141"/>
      <c r="D324" s="142"/>
      <c r="E324" s="142"/>
      <c r="F324" s="143"/>
      <c r="G324" s="143"/>
      <c r="H324" s="143"/>
      <c r="I324" s="143"/>
      <c r="J324" s="143"/>
      <c r="K324" s="143"/>
      <c r="L324" s="143"/>
      <c r="M324" s="143"/>
      <c r="N324" s="153"/>
      <c r="O324" s="143"/>
      <c r="P324" s="143"/>
      <c r="Q324" s="156"/>
      <c r="R324" s="144"/>
      <c r="S324" s="189">
        <v>500000</v>
      </c>
      <c r="T324" s="121">
        <v>495000</v>
      </c>
      <c r="U324" s="189" t="s">
        <v>447</v>
      </c>
      <c r="V324" s="143"/>
    </row>
    <row r="325" spans="1:22" ht="25" customHeight="1" thickBot="1" x14ac:dyDescent="0.4">
      <c r="A325" s="126"/>
      <c r="B325" s="273"/>
      <c r="C325" s="141"/>
      <c r="D325" s="142"/>
      <c r="E325" s="142"/>
      <c r="F325" s="143"/>
      <c r="G325" s="143"/>
      <c r="H325" s="143"/>
      <c r="I325" s="143"/>
      <c r="J325" s="143"/>
      <c r="K325" s="143"/>
      <c r="L325" s="143"/>
      <c r="M325" s="143"/>
      <c r="N325" s="243"/>
      <c r="O325" s="143"/>
      <c r="P325" s="143"/>
      <c r="Q325" s="156"/>
      <c r="R325" s="144"/>
      <c r="S325" s="189">
        <v>400000</v>
      </c>
      <c r="T325" s="189">
        <v>396000</v>
      </c>
      <c r="U325" s="189" t="s">
        <v>466</v>
      </c>
      <c r="V325" s="143"/>
    </row>
    <row r="326" spans="1:22" ht="25" customHeight="1" thickBot="1" x14ac:dyDescent="0.4">
      <c r="A326" s="215">
        <v>68048</v>
      </c>
      <c r="B326" s="270"/>
      <c r="C326" s="217"/>
      <c r="D326" s="218"/>
      <c r="E326" s="219"/>
      <c r="F326" s="219"/>
      <c r="G326" s="219"/>
      <c r="H326" s="219"/>
      <c r="I326" s="219"/>
      <c r="J326" s="219"/>
      <c r="K326" s="219"/>
      <c r="L326" s="219"/>
      <c r="M326" s="219"/>
      <c r="N326" s="220"/>
      <c r="O326" s="219"/>
      <c r="P326" s="221">
        <f>A326</f>
        <v>68048</v>
      </c>
      <c r="Q326" s="220"/>
      <c r="R326" s="219"/>
      <c r="S326" s="219"/>
      <c r="T326" s="219"/>
      <c r="U326" s="222"/>
      <c r="V326" s="219"/>
    </row>
    <row r="327" spans="1:22" ht="25" customHeight="1" x14ac:dyDescent="0.35">
      <c r="A327" s="195"/>
      <c r="B327" s="274" t="s">
        <v>400</v>
      </c>
      <c r="C327" s="199">
        <v>45703</v>
      </c>
      <c r="D327" s="200">
        <v>124</v>
      </c>
      <c r="E327" s="176">
        <v>941875</v>
      </c>
      <c r="F327" s="176">
        <v>0</v>
      </c>
      <c r="G327" s="176">
        <f>E327-F327</f>
        <v>941875</v>
      </c>
      <c r="H327" s="176">
        <f>G327*18%</f>
        <v>169537.5</v>
      </c>
      <c r="I327" s="176">
        <f>G327+H327</f>
        <v>1111412.5</v>
      </c>
      <c r="J327" s="176">
        <f>G327*1%</f>
        <v>9418.75</v>
      </c>
      <c r="K327" s="176">
        <f>G327*5%</f>
        <v>47093.75</v>
      </c>
      <c r="L327" s="176"/>
      <c r="M327" s="176"/>
      <c r="N327" s="224">
        <f>H327</f>
        <v>169537.5</v>
      </c>
      <c r="O327" s="176">
        <f>I327-SUM(J327:N327)</f>
        <v>885362.5</v>
      </c>
      <c r="P327" s="188"/>
      <c r="Q327" s="242">
        <f>3767500*85%</f>
        <v>3202375</v>
      </c>
      <c r="R327" s="175">
        <f>Q327-SUM(S327:S330)</f>
        <v>2375</v>
      </c>
      <c r="S327" s="176">
        <v>1000000</v>
      </c>
      <c r="T327" s="176">
        <v>990000</v>
      </c>
      <c r="U327" s="279" t="s">
        <v>427</v>
      </c>
      <c r="V327" s="175">
        <f>SUM(O327:O330)-SUM(S327:S330)</f>
        <v>-2145100</v>
      </c>
    </row>
    <row r="328" spans="1:22" ht="25" customHeight="1" x14ac:dyDescent="0.35">
      <c r="A328" s="126"/>
      <c r="B328" s="272" t="s">
        <v>243</v>
      </c>
      <c r="C328" s="254"/>
      <c r="D328" s="135">
        <v>124</v>
      </c>
      <c r="E328" s="278">
        <f>N327</f>
        <v>169537.5</v>
      </c>
      <c r="F328" s="119"/>
      <c r="G328" s="119"/>
      <c r="H328" s="119"/>
      <c r="I328" s="119"/>
      <c r="J328" s="119"/>
      <c r="K328" s="119"/>
      <c r="L328" s="119"/>
      <c r="M328" s="119"/>
      <c r="N328" s="149"/>
      <c r="O328" s="196">
        <f>E328</f>
        <v>169537.5</v>
      </c>
      <c r="P328" s="143"/>
      <c r="Q328" s="155"/>
      <c r="R328" s="119"/>
      <c r="S328" s="121">
        <v>1000000</v>
      </c>
      <c r="T328" s="121">
        <v>990000</v>
      </c>
      <c r="U328" s="189" t="s">
        <v>449</v>
      </c>
      <c r="V328" s="119"/>
    </row>
    <row r="329" spans="1:22" ht="25" customHeight="1" x14ac:dyDescent="0.35">
      <c r="A329" s="126"/>
      <c r="B329" s="272"/>
      <c r="C329" s="117"/>
      <c r="D329" s="118"/>
      <c r="E329" s="184"/>
      <c r="F329" s="119"/>
      <c r="G329" s="119"/>
      <c r="H329" s="119"/>
      <c r="I329" s="119"/>
      <c r="J329" s="119"/>
      <c r="K329" s="119"/>
      <c r="L329" s="119"/>
      <c r="M329" s="119"/>
      <c r="N329" s="149"/>
      <c r="O329" s="149"/>
      <c r="P329" s="143"/>
      <c r="Q329" s="155"/>
      <c r="R329" s="119"/>
      <c r="S329" s="121">
        <v>1000000</v>
      </c>
      <c r="T329" s="121">
        <v>990000</v>
      </c>
      <c r="U329" s="189" t="s">
        <v>457</v>
      </c>
      <c r="V329" s="119"/>
    </row>
    <row r="330" spans="1:22" ht="25" customHeight="1" thickBot="1" x14ac:dyDescent="0.4">
      <c r="A330" s="126"/>
      <c r="B330" s="273"/>
      <c r="C330" s="141"/>
      <c r="D330" s="142"/>
      <c r="E330" s="244"/>
      <c r="F330" s="143"/>
      <c r="G330" s="143"/>
      <c r="H330" s="143"/>
      <c r="I330" s="143"/>
      <c r="J330" s="143"/>
      <c r="K330" s="143"/>
      <c r="L330" s="143"/>
      <c r="M330" s="143"/>
      <c r="N330" s="207"/>
      <c r="O330" s="207"/>
      <c r="P330" s="143"/>
      <c r="Q330" s="156"/>
      <c r="R330" s="143"/>
      <c r="S330" s="189">
        <v>200000</v>
      </c>
      <c r="T330" s="189">
        <v>198000</v>
      </c>
      <c r="U330" s="189" t="s">
        <v>470</v>
      </c>
      <c r="V330" s="143"/>
    </row>
    <row r="331" spans="1:22" ht="25" customHeight="1" thickBot="1" x14ac:dyDescent="0.4">
      <c r="A331" s="215">
        <v>68140</v>
      </c>
      <c r="B331" s="270"/>
      <c r="C331" s="217"/>
      <c r="D331" s="218"/>
      <c r="E331" s="219"/>
      <c r="F331" s="219"/>
      <c r="G331" s="219"/>
      <c r="H331" s="219"/>
      <c r="I331" s="219"/>
      <c r="J331" s="219"/>
      <c r="K331" s="219"/>
      <c r="L331" s="219"/>
      <c r="M331" s="219"/>
      <c r="N331" s="220"/>
      <c r="O331" s="219"/>
      <c r="P331" s="221">
        <f>A331</f>
        <v>68140</v>
      </c>
      <c r="Q331" s="220"/>
      <c r="R331" s="219"/>
      <c r="S331" s="219"/>
      <c r="T331" s="219"/>
      <c r="U331" s="222"/>
      <c r="V331" s="219"/>
    </row>
    <row r="332" spans="1:22" ht="25" customHeight="1" x14ac:dyDescent="0.35">
      <c r="A332" s="195"/>
      <c r="B332" s="274" t="s">
        <v>399</v>
      </c>
      <c r="C332" s="199">
        <v>45722</v>
      </c>
      <c r="D332" s="200">
        <v>132</v>
      </c>
      <c r="E332" s="176">
        <v>779625</v>
      </c>
      <c r="F332" s="176">
        <v>0</v>
      </c>
      <c r="G332" s="176">
        <f>E332-F332</f>
        <v>779625</v>
      </c>
      <c r="H332" s="176">
        <f>G332*18%</f>
        <v>140332.5</v>
      </c>
      <c r="I332" s="176">
        <f>G332+H332</f>
        <v>919957.5</v>
      </c>
      <c r="J332" s="176">
        <f>G332*1%</f>
        <v>7796.25</v>
      </c>
      <c r="K332" s="176">
        <f>G332*5%</f>
        <v>38981.25</v>
      </c>
      <c r="L332" s="176"/>
      <c r="M332" s="176"/>
      <c r="N332" s="224">
        <f>H332</f>
        <v>140332.5</v>
      </c>
      <c r="O332" s="176">
        <f>I332-SUM(J332:N332)</f>
        <v>732847.5</v>
      </c>
      <c r="P332" s="188"/>
      <c r="Q332" s="242">
        <f>2598750*90%</f>
        <v>2338875</v>
      </c>
      <c r="R332" s="175">
        <f>Q332-SUM(S332:S336)</f>
        <v>38875</v>
      </c>
      <c r="S332" s="176">
        <v>500000</v>
      </c>
      <c r="T332" s="176">
        <v>500000</v>
      </c>
      <c r="U332" s="279" t="s">
        <v>432</v>
      </c>
      <c r="V332" s="175">
        <f>SUM(O332:O336)-SUM(S332:S336)</f>
        <v>-1426820</v>
      </c>
    </row>
    <row r="333" spans="1:22" ht="25" customHeight="1" x14ac:dyDescent="0.35">
      <c r="A333" s="126"/>
      <c r="B333" s="272" t="s">
        <v>243</v>
      </c>
      <c r="C333" s="254"/>
      <c r="D333" s="135">
        <v>132</v>
      </c>
      <c r="E333" s="278">
        <f>N332</f>
        <v>140332.5</v>
      </c>
      <c r="F333" s="119"/>
      <c r="G333" s="119"/>
      <c r="H333" s="119"/>
      <c r="I333" s="119"/>
      <c r="J333" s="119"/>
      <c r="K333" s="119"/>
      <c r="L333" s="119"/>
      <c r="M333" s="119"/>
      <c r="N333" s="149"/>
      <c r="O333" s="196">
        <f>E333</f>
        <v>140332.5</v>
      </c>
      <c r="P333" s="143"/>
      <c r="Q333" s="155"/>
      <c r="R333" s="119"/>
      <c r="S333" s="121">
        <v>200000</v>
      </c>
      <c r="T333" s="121">
        <v>200000</v>
      </c>
      <c r="U333" s="189" t="s">
        <v>438</v>
      </c>
      <c r="V333" s="119"/>
    </row>
    <row r="334" spans="1:22" ht="25" customHeight="1" x14ac:dyDescent="0.35">
      <c r="A334" s="126"/>
      <c r="B334" s="275"/>
      <c r="C334" s="114"/>
      <c r="D334" s="118"/>
      <c r="E334" s="119"/>
      <c r="F334" s="119"/>
      <c r="G334" s="119"/>
      <c r="H334" s="119"/>
      <c r="I334" s="119"/>
      <c r="J334" s="119"/>
      <c r="K334" s="119"/>
      <c r="L334" s="119"/>
      <c r="M334" s="119"/>
      <c r="N334" s="119"/>
      <c r="O334" s="119"/>
      <c r="P334" s="143"/>
      <c r="Q334" s="155"/>
      <c r="R334" s="119"/>
      <c r="S334" s="121">
        <v>1000000</v>
      </c>
      <c r="T334" s="121">
        <v>990000</v>
      </c>
      <c r="U334" s="189" t="s">
        <v>448</v>
      </c>
      <c r="V334" s="119"/>
    </row>
    <row r="335" spans="1:22" ht="25" customHeight="1" x14ac:dyDescent="0.35">
      <c r="A335" s="126"/>
      <c r="B335" s="275"/>
      <c r="C335" s="114"/>
      <c r="D335" s="118"/>
      <c r="E335" s="119"/>
      <c r="F335" s="119"/>
      <c r="G335" s="119"/>
      <c r="H335" s="119"/>
      <c r="I335" s="119"/>
      <c r="J335" s="119"/>
      <c r="K335" s="119"/>
      <c r="L335" s="119"/>
      <c r="M335" s="119"/>
      <c r="N335" s="119"/>
      <c r="O335" s="119"/>
      <c r="P335" s="143"/>
      <c r="Q335" s="155"/>
      <c r="R335" s="119"/>
      <c r="S335" s="121">
        <v>500000</v>
      </c>
      <c r="T335" s="121">
        <v>495000</v>
      </c>
      <c r="U335" s="189" t="s">
        <v>459</v>
      </c>
      <c r="V335" s="119"/>
    </row>
    <row r="336" spans="1:22" ht="25" customHeight="1" thickBot="1" x14ac:dyDescent="0.4">
      <c r="A336" s="126"/>
      <c r="B336" s="275"/>
      <c r="C336" s="178"/>
      <c r="D336" s="142"/>
      <c r="E336" s="143"/>
      <c r="F336" s="143"/>
      <c r="G336" s="143"/>
      <c r="H336" s="143"/>
      <c r="I336" s="143"/>
      <c r="J336" s="143"/>
      <c r="K336" s="143"/>
      <c r="L336" s="143"/>
      <c r="M336" s="143"/>
      <c r="N336" s="143"/>
      <c r="O336" s="143"/>
      <c r="P336" s="143"/>
      <c r="Q336" s="156"/>
      <c r="R336" s="143"/>
      <c r="S336" s="189">
        <v>100000</v>
      </c>
      <c r="T336" s="189">
        <v>99000</v>
      </c>
      <c r="U336" s="189" t="s">
        <v>469</v>
      </c>
      <c r="V336" s="143"/>
    </row>
    <row r="337" spans="1:22" ht="25" customHeight="1" thickBot="1" x14ac:dyDescent="0.4">
      <c r="A337" s="215">
        <v>68141</v>
      </c>
      <c r="B337" s="270"/>
      <c r="C337" s="217"/>
      <c r="D337" s="218"/>
      <c r="E337" s="219"/>
      <c r="F337" s="219"/>
      <c r="G337" s="219"/>
      <c r="H337" s="219"/>
      <c r="I337" s="219"/>
      <c r="J337" s="219"/>
      <c r="K337" s="219"/>
      <c r="L337" s="219"/>
      <c r="M337" s="219"/>
      <c r="N337" s="220"/>
      <c r="O337" s="219"/>
      <c r="P337" s="221">
        <f>A337</f>
        <v>68141</v>
      </c>
      <c r="Q337" s="220"/>
      <c r="R337" s="219"/>
      <c r="S337" s="219"/>
      <c r="T337" s="219"/>
      <c r="U337" s="222"/>
      <c r="V337" s="219"/>
    </row>
    <row r="338" spans="1:22" ht="25" customHeight="1" x14ac:dyDescent="0.35">
      <c r="A338" s="195"/>
      <c r="B338" s="274" t="s">
        <v>397</v>
      </c>
      <c r="C338" s="199">
        <v>45659</v>
      </c>
      <c r="D338" s="200">
        <v>122</v>
      </c>
      <c r="E338" s="176">
        <v>1028500</v>
      </c>
      <c r="F338" s="176">
        <v>0</v>
      </c>
      <c r="G338" s="176">
        <f>E338-F338</f>
        <v>1028500</v>
      </c>
      <c r="H338" s="176">
        <f>G338*18%</f>
        <v>185130</v>
      </c>
      <c r="I338" s="176">
        <f>G338+H338</f>
        <v>1213630</v>
      </c>
      <c r="J338" s="176">
        <f>G338*1%</f>
        <v>10285</v>
      </c>
      <c r="K338" s="176">
        <f>G338*5%</f>
        <v>51425</v>
      </c>
      <c r="L338" s="176"/>
      <c r="M338" s="176"/>
      <c r="N338" s="224">
        <f>H338</f>
        <v>185130</v>
      </c>
      <c r="O338" s="176">
        <f>I338-SUM(J338:N338)</f>
        <v>966790</v>
      </c>
      <c r="P338" s="188"/>
      <c r="Q338" s="242">
        <f>5142500*80%</f>
        <v>4114000</v>
      </c>
      <c r="R338" s="175">
        <f>Q338-SUM(S338:S343)</f>
        <v>347210</v>
      </c>
      <c r="S338" s="176">
        <v>500000</v>
      </c>
      <c r="T338" s="176">
        <v>500000</v>
      </c>
      <c r="U338" s="279" t="s">
        <v>428</v>
      </c>
      <c r="V338" s="175">
        <f>SUM(O338:O343)-SUM(S338:S343)</f>
        <v>-2614870</v>
      </c>
    </row>
    <row r="339" spans="1:22" ht="25" customHeight="1" x14ac:dyDescent="0.35">
      <c r="A339" s="126"/>
      <c r="B339" s="272" t="s">
        <v>243</v>
      </c>
      <c r="C339" s="254"/>
      <c r="D339" s="135">
        <v>122</v>
      </c>
      <c r="E339" s="278">
        <f>N338</f>
        <v>185130</v>
      </c>
      <c r="F339" s="119"/>
      <c r="G339" s="119"/>
      <c r="H339" s="119"/>
      <c r="I339" s="119"/>
      <c r="J339" s="119"/>
      <c r="K339" s="119"/>
      <c r="L339" s="119"/>
      <c r="M339" s="119"/>
      <c r="N339" s="149"/>
      <c r="O339" s="196">
        <f>E339</f>
        <v>185130</v>
      </c>
      <c r="P339" s="143"/>
      <c r="Q339" s="155"/>
      <c r="R339" s="119"/>
      <c r="S339" s="121">
        <v>466790</v>
      </c>
      <c r="T339" s="121">
        <v>466790</v>
      </c>
      <c r="U339" s="189" t="s">
        <v>434</v>
      </c>
      <c r="V339" s="119"/>
    </row>
    <row r="340" spans="1:22" ht="25" customHeight="1" x14ac:dyDescent="0.35">
      <c r="A340" s="126"/>
      <c r="B340" s="275"/>
      <c r="C340" s="114"/>
      <c r="D340" s="118"/>
      <c r="E340" s="119"/>
      <c r="F340" s="119"/>
      <c r="G340" s="119"/>
      <c r="H340" s="119"/>
      <c r="I340" s="119"/>
      <c r="J340" s="119"/>
      <c r="K340" s="119"/>
      <c r="L340" s="119"/>
      <c r="M340" s="119"/>
      <c r="N340" s="119"/>
      <c r="O340" s="119"/>
      <c r="P340" s="143"/>
      <c r="Q340" s="155"/>
      <c r="R340" s="119"/>
      <c r="S340" s="121">
        <v>1000000</v>
      </c>
      <c r="T340" s="121">
        <v>990000</v>
      </c>
      <c r="U340" s="189" t="s">
        <v>435</v>
      </c>
      <c r="V340" s="119"/>
    </row>
    <row r="341" spans="1:22" ht="25" customHeight="1" x14ac:dyDescent="0.35">
      <c r="A341" s="126"/>
      <c r="B341" s="275"/>
      <c r="C341" s="114"/>
      <c r="D341" s="118"/>
      <c r="E341" s="119"/>
      <c r="F341" s="119"/>
      <c r="G341" s="119"/>
      <c r="H341" s="119"/>
      <c r="I341" s="119"/>
      <c r="J341" s="119"/>
      <c r="K341" s="119"/>
      <c r="L341" s="119"/>
      <c r="M341" s="119"/>
      <c r="N341" s="119"/>
      <c r="O341" s="119"/>
      <c r="P341" s="143"/>
      <c r="Q341" s="155"/>
      <c r="R341" s="119"/>
      <c r="S341" s="121">
        <v>300000</v>
      </c>
      <c r="T341" s="121">
        <v>297000</v>
      </c>
      <c r="U341" s="189" t="s">
        <v>462</v>
      </c>
      <c r="V341" s="119"/>
    </row>
    <row r="342" spans="1:22" ht="25" customHeight="1" x14ac:dyDescent="0.35">
      <c r="A342" s="126"/>
      <c r="B342" s="275"/>
      <c r="C342" s="114"/>
      <c r="D342" s="118"/>
      <c r="E342" s="119"/>
      <c r="F342" s="119"/>
      <c r="G342" s="119"/>
      <c r="H342" s="119"/>
      <c r="I342" s="119"/>
      <c r="J342" s="119"/>
      <c r="K342" s="119"/>
      <c r="L342" s="119"/>
      <c r="M342" s="119"/>
      <c r="N342" s="119"/>
      <c r="O342" s="119"/>
      <c r="P342" s="143"/>
      <c r="Q342" s="155"/>
      <c r="R342" s="119"/>
      <c r="S342" s="121">
        <v>1000000</v>
      </c>
      <c r="T342" s="121">
        <v>990000</v>
      </c>
      <c r="U342" s="189" t="s">
        <v>480</v>
      </c>
      <c r="V342" s="119"/>
    </row>
    <row r="343" spans="1:22" ht="25" customHeight="1" thickBot="1" x14ac:dyDescent="0.4">
      <c r="A343" s="126"/>
      <c r="B343" s="275"/>
      <c r="C343" s="178"/>
      <c r="D343" s="142"/>
      <c r="E343" s="143"/>
      <c r="F343" s="143"/>
      <c r="G343" s="143"/>
      <c r="H343" s="143"/>
      <c r="I343" s="143"/>
      <c r="J343" s="143"/>
      <c r="K343" s="143"/>
      <c r="L343" s="143"/>
      <c r="M343" s="143"/>
      <c r="N343" s="143"/>
      <c r="O343" s="143"/>
      <c r="P343" s="143"/>
      <c r="Q343" s="156"/>
      <c r="R343" s="143"/>
      <c r="S343" s="189">
        <v>500000</v>
      </c>
      <c r="T343" s="280">
        <v>495000</v>
      </c>
      <c r="U343" s="189" t="s">
        <v>481</v>
      </c>
      <c r="V343" s="143"/>
    </row>
    <row r="344" spans="1:22" ht="25" customHeight="1" thickBot="1" x14ac:dyDescent="0.4">
      <c r="A344" s="215">
        <v>68142</v>
      </c>
      <c r="B344" s="270"/>
      <c r="C344" s="217"/>
      <c r="D344" s="218"/>
      <c r="E344" s="219"/>
      <c r="F344" s="219"/>
      <c r="G344" s="219"/>
      <c r="H344" s="219"/>
      <c r="I344" s="219"/>
      <c r="J344" s="219"/>
      <c r="K344" s="219"/>
      <c r="L344" s="219"/>
      <c r="M344" s="219"/>
      <c r="N344" s="220"/>
      <c r="O344" s="219"/>
      <c r="P344" s="221">
        <f>A344</f>
        <v>68142</v>
      </c>
      <c r="Q344" s="220"/>
      <c r="R344" s="219"/>
      <c r="S344" s="219"/>
      <c r="T344" s="219"/>
      <c r="U344" s="222"/>
      <c r="V344" s="219"/>
    </row>
    <row r="345" spans="1:22" ht="25" customHeight="1" x14ac:dyDescent="0.35">
      <c r="A345" s="195"/>
      <c r="B345" s="274" t="s">
        <v>398</v>
      </c>
      <c r="C345" s="199">
        <v>45706</v>
      </c>
      <c r="D345" s="200">
        <v>128</v>
      </c>
      <c r="E345" s="176">
        <v>1485000</v>
      </c>
      <c r="F345" s="176">
        <v>0</v>
      </c>
      <c r="G345" s="176">
        <f>E345-F345</f>
        <v>1485000</v>
      </c>
      <c r="H345" s="176">
        <f>G345*18%</f>
        <v>267300</v>
      </c>
      <c r="I345" s="176">
        <f>G345+H345</f>
        <v>1752300</v>
      </c>
      <c r="J345" s="176">
        <f>G345*1%</f>
        <v>14850</v>
      </c>
      <c r="K345" s="176">
        <f>G345*5%</f>
        <v>74250</v>
      </c>
      <c r="L345" s="176"/>
      <c r="M345" s="176"/>
      <c r="N345" s="224">
        <f>H345</f>
        <v>267300</v>
      </c>
      <c r="O345" s="176">
        <f>I345-SUM(J345:N345)</f>
        <v>1395900</v>
      </c>
      <c r="P345" s="188"/>
      <c r="Q345" s="242">
        <f>2475000*90%</f>
        <v>2227500</v>
      </c>
      <c r="R345" s="175">
        <f>Q345-SUM(S345:S348)</f>
        <v>31600</v>
      </c>
      <c r="S345" s="176">
        <v>500000</v>
      </c>
      <c r="T345" s="176">
        <v>500000</v>
      </c>
      <c r="U345" s="279" t="s">
        <v>430</v>
      </c>
      <c r="V345" s="175">
        <f>SUM(O345:O348)-SUM(S345:S348)</f>
        <v>-532700</v>
      </c>
    </row>
    <row r="346" spans="1:22" ht="25" customHeight="1" x14ac:dyDescent="0.35">
      <c r="A346" s="126"/>
      <c r="B346" s="272" t="s">
        <v>243</v>
      </c>
      <c r="C346" s="254"/>
      <c r="D346" s="135">
        <v>128</v>
      </c>
      <c r="E346" s="278">
        <f>N345</f>
        <v>267300</v>
      </c>
      <c r="F346" s="119"/>
      <c r="G346" s="119"/>
      <c r="H346" s="119"/>
      <c r="I346" s="119"/>
      <c r="J346" s="119"/>
      <c r="K346" s="119"/>
      <c r="L346" s="119"/>
      <c r="M346" s="119"/>
      <c r="N346" s="119"/>
      <c r="O346" s="196">
        <f>E346</f>
        <v>267300</v>
      </c>
      <c r="P346" s="143"/>
      <c r="Q346" s="155"/>
      <c r="R346" s="119"/>
      <c r="S346" s="121">
        <v>895900</v>
      </c>
      <c r="T346" s="121">
        <v>895900</v>
      </c>
      <c r="U346" s="189" t="s">
        <v>433</v>
      </c>
      <c r="V346" s="119"/>
    </row>
    <row r="347" spans="1:22" ht="25" customHeight="1" x14ac:dyDescent="0.35">
      <c r="A347" s="126"/>
      <c r="B347" s="275"/>
      <c r="C347" s="114"/>
      <c r="D347" s="118"/>
      <c r="E347" s="119"/>
      <c r="F347" s="119"/>
      <c r="G347" s="119"/>
      <c r="H347" s="119"/>
      <c r="I347" s="119"/>
      <c r="J347" s="119"/>
      <c r="K347" s="119"/>
      <c r="L347" s="119"/>
      <c r="M347" s="119"/>
      <c r="N347" s="119"/>
      <c r="O347" s="119"/>
      <c r="P347" s="143"/>
      <c r="Q347" s="155"/>
      <c r="R347" s="119"/>
      <c r="S347" s="121">
        <v>500000</v>
      </c>
      <c r="T347" s="121">
        <v>495000</v>
      </c>
      <c r="U347" s="189" t="s">
        <v>450</v>
      </c>
      <c r="V347" s="119"/>
    </row>
    <row r="348" spans="1:22" ht="25" customHeight="1" thickBot="1" x14ac:dyDescent="0.4">
      <c r="A348" s="126"/>
      <c r="B348" s="275"/>
      <c r="C348" s="178"/>
      <c r="D348" s="142"/>
      <c r="E348" s="143"/>
      <c r="F348" s="143"/>
      <c r="G348" s="143"/>
      <c r="H348" s="143"/>
      <c r="I348" s="143"/>
      <c r="J348" s="143"/>
      <c r="K348" s="143"/>
      <c r="L348" s="143"/>
      <c r="M348" s="143"/>
      <c r="N348" s="143"/>
      <c r="O348" s="143"/>
      <c r="P348" s="143"/>
      <c r="Q348" s="156"/>
      <c r="R348" s="143"/>
      <c r="S348" s="189">
        <v>300000</v>
      </c>
      <c r="T348" s="189">
        <v>297000</v>
      </c>
      <c r="U348" s="189" t="s">
        <v>463</v>
      </c>
      <c r="V348" s="143"/>
    </row>
    <row r="349" spans="1:22" ht="25" customHeight="1" thickBot="1" x14ac:dyDescent="0.4">
      <c r="A349" s="215">
        <v>68143</v>
      </c>
      <c r="B349" s="270"/>
      <c r="C349" s="217"/>
      <c r="D349" s="218"/>
      <c r="E349" s="219"/>
      <c r="F349" s="219"/>
      <c r="G349" s="219"/>
      <c r="H349" s="219"/>
      <c r="I349" s="219"/>
      <c r="J349" s="219"/>
      <c r="K349" s="219"/>
      <c r="L349" s="219"/>
      <c r="M349" s="219"/>
      <c r="N349" s="220"/>
      <c r="O349" s="219"/>
      <c r="P349" s="221">
        <f>A349</f>
        <v>68143</v>
      </c>
      <c r="Q349" s="220"/>
      <c r="R349" s="219"/>
      <c r="S349" s="219"/>
      <c r="T349" s="219"/>
      <c r="U349" s="222"/>
      <c r="V349" s="219"/>
    </row>
    <row r="350" spans="1:22" ht="25" customHeight="1" x14ac:dyDescent="0.35">
      <c r="A350" s="195"/>
      <c r="B350" s="274" t="s">
        <v>396</v>
      </c>
      <c r="C350" s="199">
        <v>45706</v>
      </c>
      <c r="D350" s="200">
        <v>130</v>
      </c>
      <c r="E350" s="176">
        <v>1225000</v>
      </c>
      <c r="F350" s="176">
        <v>0</v>
      </c>
      <c r="G350" s="176">
        <f>E350-F350</f>
        <v>1225000</v>
      </c>
      <c r="H350" s="176">
        <f>G350*18%</f>
        <v>220500</v>
      </c>
      <c r="I350" s="176">
        <f>G350+H350</f>
        <v>1445500</v>
      </c>
      <c r="J350" s="176">
        <f>G350*1%</f>
        <v>12250</v>
      </c>
      <c r="K350" s="176">
        <f>G350*5%</f>
        <v>61250</v>
      </c>
      <c r="L350" s="176"/>
      <c r="M350" s="176"/>
      <c r="N350" s="224">
        <f>H350</f>
        <v>220500</v>
      </c>
      <c r="O350" s="176">
        <f>I350-SUM(J350:N350)</f>
        <v>1151500</v>
      </c>
      <c r="P350" s="241"/>
      <c r="Q350" s="242">
        <f>3500000*95%</f>
        <v>3325000</v>
      </c>
      <c r="R350" s="175">
        <f>Q350-SUM(S350:S355)</f>
        <v>25000</v>
      </c>
      <c r="S350" s="176">
        <v>500000</v>
      </c>
      <c r="T350" s="176">
        <v>500000</v>
      </c>
      <c r="U350" s="279" t="s">
        <v>429</v>
      </c>
      <c r="V350" s="175">
        <f>SUM(O350:O355)-SUM(S350:S355)</f>
        <v>-1928000</v>
      </c>
    </row>
    <row r="351" spans="1:22" ht="25" customHeight="1" x14ac:dyDescent="0.35">
      <c r="A351" s="126"/>
      <c r="B351" s="272" t="s">
        <v>243</v>
      </c>
      <c r="C351" s="254"/>
      <c r="D351" s="135">
        <v>130</v>
      </c>
      <c r="E351" s="278">
        <f>N350</f>
        <v>220500</v>
      </c>
      <c r="F351" s="119"/>
      <c r="G351" s="119"/>
      <c r="H351" s="119"/>
      <c r="I351" s="119"/>
      <c r="J351" s="119"/>
      <c r="K351" s="119"/>
      <c r="L351" s="119"/>
      <c r="M351" s="119"/>
      <c r="N351" s="119"/>
      <c r="O351" s="196">
        <f>E351</f>
        <v>220500</v>
      </c>
      <c r="P351" s="181"/>
      <c r="Q351" s="156"/>
      <c r="R351" s="143"/>
      <c r="S351" s="189">
        <v>500000</v>
      </c>
      <c r="T351" s="189">
        <v>500000</v>
      </c>
      <c r="U351" s="189" t="s">
        <v>442</v>
      </c>
      <c r="V351" s="143"/>
    </row>
    <row r="352" spans="1:22" ht="25" customHeight="1" x14ac:dyDescent="0.35">
      <c r="A352" s="126"/>
      <c r="B352" s="275"/>
      <c r="C352" s="178"/>
      <c r="D352" s="142"/>
      <c r="E352" s="143"/>
      <c r="F352" s="143"/>
      <c r="G352" s="143"/>
      <c r="H352" s="143"/>
      <c r="I352" s="143"/>
      <c r="J352" s="143"/>
      <c r="K352" s="143"/>
      <c r="L352" s="143"/>
      <c r="M352" s="143"/>
      <c r="N352" s="119"/>
      <c r="O352" s="143"/>
      <c r="P352" s="181"/>
      <c r="Q352" s="156"/>
      <c r="R352" s="143"/>
      <c r="S352" s="189">
        <v>1000000</v>
      </c>
      <c r="T352" s="280">
        <v>990000</v>
      </c>
      <c r="U352" s="189" t="s">
        <v>437</v>
      </c>
      <c r="V352" s="187"/>
    </row>
    <row r="353" spans="1:22" ht="25" customHeight="1" x14ac:dyDescent="0.35">
      <c r="A353" s="126"/>
      <c r="B353" s="275"/>
      <c r="C353" s="178"/>
      <c r="D353" s="142"/>
      <c r="E353" s="143"/>
      <c r="F353" s="143"/>
      <c r="G353" s="143"/>
      <c r="H353" s="143"/>
      <c r="I353" s="143"/>
      <c r="J353" s="143"/>
      <c r="K353" s="143"/>
      <c r="L353" s="143"/>
      <c r="M353" s="143"/>
      <c r="N353" s="143"/>
      <c r="O353" s="143"/>
      <c r="P353" s="181"/>
      <c r="Q353" s="156"/>
      <c r="R353" s="143"/>
      <c r="S353" s="189">
        <v>500000</v>
      </c>
      <c r="T353" s="280">
        <v>495000</v>
      </c>
      <c r="U353" s="189" t="s">
        <v>445</v>
      </c>
      <c r="V353" s="187"/>
    </row>
    <row r="354" spans="1:22" ht="25" customHeight="1" x14ac:dyDescent="0.35">
      <c r="A354" s="126"/>
      <c r="B354" s="275"/>
      <c r="C354" s="178"/>
      <c r="D354" s="142"/>
      <c r="E354" s="143"/>
      <c r="F354" s="143"/>
      <c r="G354" s="143"/>
      <c r="H354" s="143"/>
      <c r="I354" s="143"/>
      <c r="J354" s="143"/>
      <c r="K354" s="143"/>
      <c r="L354" s="143"/>
      <c r="M354" s="143"/>
      <c r="N354" s="143"/>
      <c r="O354" s="143"/>
      <c r="P354" s="181"/>
      <c r="Q354" s="156"/>
      <c r="R354" s="143"/>
      <c r="S354" s="189">
        <v>500000</v>
      </c>
      <c r="T354" s="280">
        <v>495000</v>
      </c>
      <c r="U354" s="189" t="s">
        <v>458</v>
      </c>
      <c r="V354" s="187"/>
    </row>
    <row r="355" spans="1:22" ht="25" customHeight="1" thickBot="1" x14ac:dyDescent="0.4">
      <c r="A355" s="126"/>
      <c r="B355" s="275"/>
      <c r="C355" s="178"/>
      <c r="D355" s="142"/>
      <c r="E355" s="143"/>
      <c r="F355" s="143"/>
      <c r="G355" s="143"/>
      <c r="H355" s="143"/>
      <c r="I355" s="143"/>
      <c r="J355" s="143"/>
      <c r="K355" s="143"/>
      <c r="L355" s="143"/>
      <c r="M355" s="143"/>
      <c r="N355" s="143"/>
      <c r="O355" s="143"/>
      <c r="P355" s="181"/>
      <c r="Q355" s="156"/>
      <c r="R355" s="143"/>
      <c r="S355" s="189">
        <v>300000</v>
      </c>
      <c r="T355" s="189">
        <v>297000</v>
      </c>
      <c r="U355" s="189" t="s">
        <v>464</v>
      </c>
      <c r="V355" s="187"/>
    </row>
    <row r="356" spans="1:22" ht="25" customHeight="1" thickBot="1" x14ac:dyDescent="0.4">
      <c r="A356" s="215">
        <v>68145</v>
      </c>
      <c r="B356" s="270"/>
      <c r="C356" s="217"/>
      <c r="D356" s="218"/>
      <c r="E356" s="219"/>
      <c r="F356" s="219"/>
      <c r="G356" s="219"/>
      <c r="H356" s="219"/>
      <c r="I356" s="219"/>
      <c r="J356" s="219"/>
      <c r="K356" s="219"/>
      <c r="L356" s="219"/>
      <c r="M356" s="219"/>
      <c r="N356" s="220"/>
      <c r="O356" s="219"/>
      <c r="P356" s="221">
        <f>A356</f>
        <v>68145</v>
      </c>
      <c r="Q356" s="220"/>
      <c r="R356" s="219"/>
      <c r="S356" s="219"/>
      <c r="T356" s="219"/>
      <c r="U356" s="222"/>
      <c r="V356" s="219"/>
    </row>
    <row r="357" spans="1:22" ht="25" customHeight="1" x14ac:dyDescent="0.35">
      <c r="A357" s="195"/>
      <c r="B357" s="274" t="s">
        <v>401</v>
      </c>
      <c r="C357" s="199">
        <v>45662</v>
      </c>
      <c r="D357" s="200">
        <v>123</v>
      </c>
      <c r="E357" s="176">
        <v>964687</v>
      </c>
      <c r="F357" s="176">
        <v>0</v>
      </c>
      <c r="G357" s="176">
        <f>E357-F357</f>
        <v>964687</v>
      </c>
      <c r="H357" s="176">
        <f>G357*18%</f>
        <v>173643.66</v>
      </c>
      <c r="I357" s="176">
        <f>G357+H357</f>
        <v>1138330.6599999999</v>
      </c>
      <c r="J357" s="176">
        <f>G357*1%</f>
        <v>9646.8700000000008</v>
      </c>
      <c r="K357" s="176">
        <f>G357*5%</f>
        <v>48234.350000000006</v>
      </c>
      <c r="L357" s="176"/>
      <c r="M357" s="176"/>
      <c r="N357" s="224">
        <f>H357</f>
        <v>173643.66</v>
      </c>
      <c r="O357" s="176">
        <f>ROUND(I357-SUM(J357:N357),0)</f>
        <v>906806</v>
      </c>
      <c r="P357" s="188"/>
      <c r="Q357" s="242">
        <f>2756250*95%</f>
        <v>2618437.5</v>
      </c>
      <c r="R357" s="175">
        <f>Q357-SUM(S357:S362)</f>
        <v>18437.5</v>
      </c>
      <c r="S357" s="176">
        <v>500000</v>
      </c>
      <c r="T357" s="176">
        <v>500000</v>
      </c>
      <c r="U357" s="279" t="s">
        <v>431</v>
      </c>
      <c r="V357" s="175">
        <f>SUM(O357:O362)-SUM(S357:S362)</f>
        <v>-1519550.34</v>
      </c>
    </row>
    <row r="358" spans="1:22" ht="25" customHeight="1" x14ac:dyDescent="0.35">
      <c r="A358" s="126"/>
      <c r="B358" s="272" t="s">
        <v>243</v>
      </c>
      <c r="C358" s="254"/>
      <c r="D358" s="135">
        <v>123</v>
      </c>
      <c r="E358" s="278">
        <f>N357</f>
        <v>173643.66</v>
      </c>
      <c r="F358" s="119"/>
      <c r="G358" s="119"/>
      <c r="H358" s="119"/>
      <c r="I358" s="119"/>
      <c r="J358" s="119"/>
      <c r="K358" s="119"/>
      <c r="L358" s="119"/>
      <c r="M358" s="119"/>
      <c r="N358" s="149"/>
      <c r="O358" s="196">
        <f>E358</f>
        <v>173643.66</v>
      </c>
      <c r="P358" s="143"/>
      <c r="Q358" s="155"/>
      <c r="R358" s="119"/>
      <c r="S358" s="121">
        <v>400000</v>
      </c>
      <c r="T358" s="121">
        <v>400000</v>
      </c>
      <c r="U358" s="189" t="s">
        <v>441</v>
      </c>
      <c r="V358" s="119"/>
    </row>
    <row r="359" spans="1:22" ht="25" customHeight="1" x14ac:dyDescent="0.35">
      <c r="A359" s="126"/>
      <c r="B359" s="275"/>
      <c r="C359" s="114"/>
      <c r="D359" s="118"/>
      <c r="E359" s="119"/>
      <c r="F359" s="119"/>
      <c r="G359" s="119"/>
      <c r="H359" s="119"/>
      <c r="I359" s="119"/>
      <c r="J359" s="119"/>
      <c r="K359" s="119"/>
      <c r="L359" s="119"/>
      <c r="M359" s="119"/>
      <c r="N359" s="119"/>
      <c r="O359" s="119"/>
      <c r="P359" s="143"/>
      <c r="Q359" s="155"/>
      <c r="R359" s="119"/>
      <c r="S359" s="121">
        <v>500000</v>
      </c>
      <c r="T359" s="121">
        <v>495000</v>
      </c>
      <c r="U359" s="189" t="s">
        <v>444</v>
      </c>
      <c r="V359" s="119"/>
    </row>
    <row r="360" spans="1:22" ht="25" customHeight="1" x14ac:dyDescent="0.35">
      <c r="A360" s="126"/>
      <c r="B360" s="275"/>
      <c r="C360" s="114"/>
      <c r="D360" s="118"/>
      <c r="E360" s="119"/>
      <c r="F360" s="119"/>
      <c r="G360" s="119"/>
      <c r="H360" s="119"/>
      <c r="I360" s="119"/>
      <c r="J360" s="119"/>
      <c r="K360" s="119"/>
      <c r="L360" s="119"/>
      <c r="M360" s="119"/>
      <c r="N360" s="119"/>
      <c r="O360" s="119"/>
      <c r="P360" s="143"/>
      <c r="Q360" s="155"/>
      <c r="R360" s="119"/>
      <c r="S360" s="121">
        <v>500000</v>
      </c>
      <c r="T360" s="121">
        <v>495000</v>
      </c>
      <c r="U360" s="189" t="s">
        <v>452</v>
      </c>
      <c r="V360" s="119"/>
    </row>
    <row r="361" spans="1:22" ht="25" customHeight="1" x14ac:dyDescent="0.35">
      <c r="A361" s="126"/>
      <c r="B361" s="275"/>
      <c r="C361" s="114"/>
      <c r="D361" s="118"/>
      <c r="E361" s="119"/>
      <c r="F361" s="119"/>
      <c r="G361" s="119"/>
      <c r="H361" s="119"/>
      <c r="I361" s="119"/>
      <c r="J361" s="119"/>
      <c r="K361" s="119"/>
      <c r="L361" s="119"/>
      <c r="M361" s="119"/>
      <c r="N361" s="119"/>
      <c r="O361" s="119"/>
      <c r="P361" s="143"/>
      <c r="Q361" s="155"/>
      <c r="R361" s="119"/>
      <c r="S361" s="121">
        <v>500000</v>
      </c>
      <c r="T361" s="121">
        <v>495000</v>
      </c>
      <c r="U361" s="189" t="s">
        <v>460</v>
      </c>
      <c r="V361" s="119"/>
    </row>
    <row r="362" spans="1:22" ht="25" customHeight="1" thickBot="1" x14ac:dyDescent="0.4">
      <c r="A362" s="126"/>
      <c r="B362" s="275"/>
      <c r="C362" s="178"/>
      <c r="D362" s="142"/>
      <c r="E362" s="143"/>
      <c r="F362" s="143"/>
      <c r="G362" s="143"/>
      <c r="H362" s="143"/>
      <c r="I362" s="143"/>
      <c r="J362" s="143"/>
      <c r="K362" s="143"/>
      <c r="L362" s="143"/>
      <c r="M362" s="143"/>
      <c r="N362" s="143"/>
      <c r="O362" s="143"/>
      <c r="P362" s="143"/>
      <c r="Q362" s="156"/>
      <c r="R362" s="143"/>
      <c r="S362" s="189">
        <v>200000</v>
      </c>
      <c r="T362" s="189">
        <v>198000</v>
      </c>
      <c r="U362" s="189" t="s">
        <v>468</v>
      </c>
      <c r="V362" s="143"/>
    </row>
    <row r="363" spans="1:22" ht="25" customHeight="1" thickBot="1" x14ac:dyDescent="0.4">
      <c r="A363" s="215">
        <v>68146</v>
      </c>
      <c r="B363" s="270"/>
      <c r="C363" s="217"/>
      <c r="D363" s="218"/>
      <c r="E363" s="219"/>
      <c r="F363" s="219"/>
      <c r="G363" s="219"/>
      <c r="H363" s="219"/>
      <c r="I363" s="219"/>
      <c r="J363" s="219"/>
      <c r="K363" s="219"/>
      <c r="L363" s="219"/>
      <c r="M363" s="219"/>
      <c r="N363" s="220"/>
      <c r="O363" s="219"/>
      <c r="P363" s="221">
        <f>A363</f>
        <v>68146</v>
      </c>
      <c r="Q363" s="220"/>
      <c r="R363" s="219"/>
      <c r="S363" s="219"/>
      <c r="T363" s="219"/>
      <c r="U363" s="222"/>
      <c r="V363" s="219"/>
    </row>
    <row r="364" spans="1:22" ht="25" customHeight="1" x14ac:dyDescent="0.35">
      <c r="A364" s="213"/>
      <c r="B364" s="276" t="s">
        <v>407</v>
      </c>
      <c r="C364" s="199">
        <v>45703</v>
      </c>
      <c r="D364" s="200">
        <v>126</v>
      </c>
      <c r="E364" s="176">
        <v>900000</v>
      </c>
      <c r="F364" s="176">
        <v>4950</v>
      </c>
      <c r="G364" s="176">
        <f>E364-F364</f>
        <v>895050</v>
      </c>
      <c r="H364" s="176">
        <f>G364*18%</f>
        <v>161109</v>
      </c>
      <c r="I364" s="176">
        <f>G364+H364</f>
        <v>1056159</v>
      </c>
      <c r="J364" s="176">
        <f>G364*1%</f>
        <v>8950.5</v>
      </c>
      <c r="K364" s="176">
        <f>G364*5%</f>
        <v>44752.5</v>
      </c>
      <c r="L364" s="176"/>
      <c r="M364" s="176"/>
      <c r="N364" s="224">
        <f>H364</f>
        <v>161109</v>
      </c>
      <c r="O364" s="176">
        <f>ROUND(I364-SUM(J364:N364),0)</f>
        <v>841347</v>
      </c>
      <c r="P364" s="188"/>
      <c r="Q364" s="242">
        <f>2250000*90%</f>
        <v>2025000</v>
      </c>
      <c r="R364" s="175">
        <f>Q364-SUM(S364:S368)</f>
        <v>25000</v>
      </c>
      <c r="S364" s="176">
        <v>500000</v>
      </c>
      <c r="T364" s="176">
        <v>500000</v>
      </c>
      <c r="U364" s="176" t="s">
        <v>436</v>
      </c>
      <c r="V364" s="175">
        <f>SUM(O364:O368)-SUM(S364:S368)</f>
        <v>-997544</v>
      </c>
    </row>
    <row r="365" spans="1:22" ht="25" customHeight="1" x14ac:dyDescent="0.35">
      <c r="A365" s="116"/>
      <c r="B365" s="272" t="s">
        <v>243</v>
      </c>
      <c r="C365" s="254"/>
      <c r="D365" s="135">
        <v>126</v>
      </c>
      <c r="E365" s="278">
        <f>N364</f>
        <v>161109</v>
      </c>
      <c r="F365" s="119"/>
      <c r="G365" s="119"/>
      <c r="H365" s="119"/>
      <c r="I365" s="119"/>
      <c r="J365" s="119"/>
      <c r="K365" s="119"/>
      <c r="L365" s="119"/>
      <c r="M365" s="119"/>
      <c r="N365" s="149"/>
      <c r="O365" s="196">
        <f>E365</f>
        <v>161109</v>
      </c>
      <c r="P365" s="143"/>
      <c r="Q365" s="155"/>
      <c r="R365" s="119"/>
      <c r="S365" s="121">
        <v>300000</v>
      </c>
      <c r="T365" s="121">
        <v>300000</v>
      </c>
      <c r="U365" s="121" t="s">
        <v>440</v>
      </c>
      <c r="V365" s="119"/>
    </row>
    <row r="366" spans="1:22" ht="25" customHeight="1" x14ac:dyDescent="0.35">
      <c r="A366" s="116"/>
      <c r="B366" s="272"/>
      <c r="C366" s="117"/>
      <c r="D366" s="118"/>
      <c r="E366" s="118"/>
      <c r="F366" s="119"/>
      <c r="G366" s="119" t="s">
        <v>163</v>
      </c>
      <c r="H366" s="119"/>
      <c r="I366" s="119"/>
      <c r="J366" s="119"/>
      <c r="K366" s="119"/>
      <c r="L366" s="119"/>
      <c r="M366" s="119"/>
      <c r="N366" s="133"/>
      <c r="O366" s="119"/>
      <c r="P366" s="143"/>
      <c r="Q366" s="155"/>
      <c r="R366" s="131"/>
      <c r="S366" s="121">
        <v>500000</v>
      </c>
      <c r="T366" s="121">
        <v>495000</v>
      </c>
      <c r="U366" s="121" t="s">
        <v>443</v>
      </c>
      <c r="V366" s="119"/>
    </row>
    <row r="367" spans="1:22" ht="25" customHeight="1" x14ac:dyDescent="0.35">
      <c r="A367" s="116"/>
      <c r="B367" s="272"/>
      <c r="C367" s="117"/>
      <c r="D367" s="118"/>
      <c r="E367" s="118"/>
      <c r="F367" s="119"/>
      <c r="G367" s="119"/>
      <c r="H367" s="119"/>
      <c r="I367" s="119"/>
      <c r="J367" s="119"/>
      <c r="K367" s="119"/>
      <c r="L367" s="119"/>
      <c r="M367" s="119"/>
      <c r="N367" s="133"/>
      <c r="O367" s="119"/>
      <c r="P367" s="188"/>
      <c r="Q367" s="155"/>
      <c r="R367" s="131"/>
      <c r="S367" s="121">
        <v>500000</v>
      </c>
      <c r="T367" s="121">
        <v>495000</v>
      </c>
      <c r="U367" s="121" t="s">
        <v>451</v>
      </c>
      <c r="V367" s="119"/>
    </row>
    <row r="368" spans="1:22" ht="25" customHeight="1" thickBot="1" x14ac:dyDescent="0.4">
      <c r="A368" s="126"/>
      <c r="B368" s="273"/>
      <c r="C368" s="141"/>
      <c r="D368" s="142"/>
      <c r="E368" s="142"/>
      <c r="F368" s="143"/>
      <c r="G368" s="143"/>
      <c r="H368" s="143"/>
      <c r="I368" s="143"/>
      <c r="J368" s="143"/>
      <c r="K368" s="143"/>
      <c r="L368" s="143"/>
      <c r="M368" s="143"/>
      <c r="N368" s="209"/>
      <c r="O368" s="143"/>
      <c r="P368" s="188"/>
      <c r="Q368" s="156"/>
      <c r="R368" s="144"/>
      <c r="S368" s="189">
        <v>200000</v>
      </c>
      <c r="T368" s="189">
        <v>198000</v>
      </c>
      <c r="U368" s="189" t="s">
        <v>467</v>
      </c>
      <c r="V368" s="143"/>
    </row>
    <row r="369" spans="1:22" ht="25" customHeight="1" thickBot="1" x14ac:dyDescent="0.4">
      <c r="A369" s="215">
        <v>69596</v>
      </c>
      <c r="B369" s="270"/>
      <c r="C369" s="217"/>
      <c r="D369" s="218"/>
      <c r="E369" s="219"/>
      <c r="F369" s="219"/>
      <c r="G369" s="219"/>
      <c r="H369" s="219"/>
      <c r="I369" s="219"/>
      <c r="J369" s="219"/>
      <c r="K369" s="219"/>
      <c r="L369" s="219"/>
      <c r="M369" s="219"/>
      <c r="N369" s="220"/>
      <c r="O369" s="219"/>
      <c r="P369" s="221">
        <f>A369</f>
        <v>69596</v>
      </c>
      <c r="Q369" s="220"/>
      <c r="R369" s="219"/>
      <c r="S369" s="219"/>
      <c r="T369" s="219"/>
      <c r="U369" s="222"/>
      <c r="V369" s="219"/>
    </row>
    <row r="370" spans="1:22" ht="25" customHeight="1" x14ac:dyDescent="0.35">
      <c r="A370" s="213"/>
      <c r="B370" s="276" t="s">
        <v>474</v>
      </c>
      <c r="C370" s="173"/>
      <c r="D370" s="174"/>
      <c r="E370" s="175"/>
      <c r="F370" s="175"/>
      <c r="G370" s="175">
        <f>E370-F370</f>
        <v>0</v>
      </c>
      <c r="H370" s="175">
        <f>G370*18%</f>
        <v>0</v>
      </c>
      <c r="I370" s="175">
        <f>G370+H370</f>
        <v>0</v>
      </c>
      <c r="J370" s="175">
        <f>G370*1%</f>
        <v>0</v>
      </c>
      <c r="K370" s="175">
        <f>G370*5%</f>
        <v>0</v>
      </c>
      <c r="L370" s="175"/>
      <c r="M370" s="175"/>
      <c r="N370" s="179">
        <f>H370</f>
        <v>0</v>
      </c>
      <c r="O370" s="175">
        <f>ROUND(I370-SUM(J370:N370),0)</f>
        <v>0</v>
      </c>
      <c r="P370" s="188"/>
      <c r="Q370" s="242"/>
      <c r="R370" s="175"/>
      <c r="S370" s="176">
        <v>225000</v>
      </c>
      <c r="T370" s="176">
        <v>222750</v>
      </c>
      <c r="U370" s="176" t="s">
        <v>475</v>
      </c>
      <c r="V370" s="175">
        <v>-225000</v>
      </c>
    </row>
    <row r="371" spans="1:22" ht="25" customHeight="1" thickBot="1" x14ac:dyDescent="0.4">
      <c r="A371" s="126"/>
      <c r="B371" s="273" t="s">
        <v>243</v>
      </c>
      <c r="C371" s="141"/>
      <c r="D371" s="142"/>
      <c r="E371" s="244"/>
      <c r="F371" s="143"/>
      <c r="G371" s="143"/>
      <c r="H371" s="143"/>
      <c r="I371" s="143"/>
      <c r="J371" s="143"/>
      <c r="K371" s="143"/>
      <c r="L371" s="143"/>
      <c r="M371" s="143"/>
      <c r="N371" s="207"/>
      <c r="O371" s="194">
        <f>E371</f>
        <v>0</v>
      </c>
      <c r="P371" s="143"/>
      <c r="Q371" s="156"/>
      <c r="R371" s="143"/>
      <c r="S371" s="180"/>
      <c r="T371" s="143"/>
      <c r="U371" s="143"/>
      <c r="V371" s="143"/>
    </row>
    <row r="372" spans="1:22" ht="25" customHeight="1" thickBot="1" x14ac:dyDescent="0.4">
      <c r="A372" s="215">
        <v>69642</v>
      </c>
      <c r="B372" s="270"/>
      <c r="C372" s="217"/>
      <c r="D372" s="218"/>
      <c r="E372" s="219"/>
      <c r="F372" s="219"/>
      <c r="G372" s="219"/>
      <c r="H372" s="219"/>
      <c r="I372" s="219"/>
      <c r="J372" s="219"/>
      <c r="K372" s="219"/>
      <c r="L372" s="219"/>
      <c r="M372" s="219"/>
      <c r="N372" s="220"/>
      <c r="O372" s="219"/>
      <c r="P372" s="221">
        <f>A372</f>
        <v>69642</v>
      </c>
      <c r="Q372" s="220"/>
      <c r="R372" s="219"/>
      <c r="S372" s="219"/>
      <c r="T372" s="219"/>
      <c r="U372" s="222"/>
      <c r="V372" s="219"/>
    </row>
    <row r="373" spans="1:22" ht="25" customHeight="1" x14ac:dyDescent="0.35">
      <c r="A373" s="213"/>
      <c r="B373" s="276" t="s">
        <v>474</v>
      </c>
      <c r="C373" s="173"/>
      <c r="D373" s="174"/>
      <c r="E373" s="175"/>
      <c r="F373" s="175"/>
      <c r="G373" s="175">
        <f>E373-F373</f>
        <v>0</v>
      </c>
      <c r="H373" s="175">
        <f>G373*18%</f>
        <v>0</v>
      </c>
      <c r="I373" s="175">
        <f>G373+H373</f>
        <v>0</v>
      </c>
      <c r="J373" s="175">
        <f>G373*1%</f>
        <v>0</v>
      </c>
      <c r="K373" s="175">
        <f>G373*5%</f>
        <v>0</v>
      </c>
      <c r="L373" s="175"/>
      <c r="M373" s="175"/>
      <c r="N373" s="179">
        <f>H373</f>
        <v>0</v>
      </c>
      <c r="O373" s="175">
        <f>ROUND(I373-SUM(J373:N373),0)</f>
        <v>0</v>
      </c>
      <c r="P373" s="188"/>
      <c r="Q373" s="242"/>
      <c r="R373" s="175"/>
      <c r="S373" s="176">
        <v>250000</v>
      </c>
      <c r="T373" s="176">
        <v>247500</v>
      </c>
      <c r="U373" s="176" t="s">
        <v>485</v>
      </c>
      <c r="V373" s="175">
        <v>-250000</v>
      </c>
    </row>
    <row r="374" spans="1:22" ht="25" customHeight="1" thickBot="1" x14ac:dyDescent="0.4">
      <c r="A374" s="195"/>
      <c r="B374" s="273" t="s">
        <v>243</v>
      </c>
      <c r="C374" s="141"/>
      <c r="D374" s="142"/>
      <c r="E374" s="244"/>
      <c r="F374" s="143"/>
      <c r="G374" s="143"/>
      <c r="H374" s="143"/>
      <c r="I374" s="143"/>
      <c r="J374" s="143"/>
      <c r="K374" s="143"/>
      <c r="L374" s="143"/>
      <c r="M374" s="143"/>
      <c r="N374" s="207"/>
      <c r="O374" s="194">
        <f>E374</f>
        <v>0</v>
      </c>
      <c r="P374" s="143"/>
      <c r="Q374" s="156"/>
      <c r="R374" s="143"/>
      <c r="S374" s="180"/>
      <c r="T374" s="143"/>
      <c r="U374" s="143"/>
      <c r="V374" s="143"/>
    </row>
    <row r="375" spans="1:22" ht="25" customHeight="1" thickBot="1" x14ac:dyDescent="0.4">
      <c r="A375" s="215">
        <v>69654</v>
      </c>
      <c r="B375" s="270"/>
      <c r="C375" s="217"/>
      <c r="D375" s="218"/>
      <c r="E375" s="219"/>
      <c r="F375" s="219"/>
      <c r="G375" s="219"/>
      <c r="H375" s="219"/>
      <c r="I375" s="219"/>
      <c r="J375" s="219"/>
      <c r="K375" s="219"/>
      <c r="L375" s="219"/>
      <c r="M375" s="219"/>
      <c r="N375" s="220"/>
      <c r="O375" s="219"/>
      <c r="P375" s="221">
        <f>A375</f>
        <v>69654</v>
      </c>
      <c r="Q375" s="220"/>
      <c r="R375" s="219"/>
      <c r="S375" s="219"/>
      <c r="T375" s="219"/>
      <c r="U375" s="222"/>
      <c r="V375" s="219"/>
    </row>
    <row r="376" spans="1:22" ht="25" customHeight="1" x14ac:dyDescent="0.35">
      <c r="A376" s="213"/>
      <c r="B376" s="276" t="s">
        <v>474</v>
      </c>
      <c r="C376" s="173"/>
      <c r="D376" s="174"/>
      <c r="E376" s="175"/>
      <c r="F376" s="175"/>
      <c r="G376" s="175">
        <f>E376-F376</f>
        <v>0</v>
      </c>
      <c r="H376" s="175">
        <f>G376*18%</f>
        <v>0</v>
      </c>
      <c r="I376" s="175">
        <f>G376+H376</f>
        <v>0</v>
      </c>
      <c r="J376" s="175">
        <f>G376*1%</f>
        <v>0</v>
      </c>
      <c r="K376" s="175">
        <f>G376*5%</f>
        <v>0</v>
      </c>
      <c r="L376" s="175"/>
      <c r="M376" s="175"/>
      <c r="N376" s="179">
        <f>H376</f>
        <v>0</v>
      </c>
      <c r="O376" s="175">
        <f>ROUND(I376-SUM(J376:N376),0)</f>
        <v>0</v>
      </c>
      <c r="P376" s="188"/>
      <c r="Q376" s="242"/>
      <c r="R376" s="175"/>
      <c r="S376" s="176">
        <v>250000</v>
      </c>
      <c r="T376" s="176">
        <v>247500</v>
      </c>
      <c r="U376" s="176" t="s">
        <v>484</v>
      </c>
      <c r="V376" s="175">
        <v>-250000</v>
      </c>
    </row>
    <row r="377" spans="1:22" ht="25" customHeight="1" thickBot="1" x14ac:dyDescent="0.4">
      <c r="A377" s="195"/>
      <c r="B377" s="273" t="s">
        <v>243</v>
      </c>
      <c r="C377" s="141"/>
      <c r="D377" s="142"/>
      <c r="E377" s="244"/>
      <c r="F377" s="143"/>
      <c r="G377" s="143"/>
      <c r="H377" s="143"/>
      <c r="I377" s="143"/>
      <c r="J377" s="143"/>
      <c r="K377" s="143"/>
      <c r="L377" s="143"/>
      <c r="M377" s="143"/>
      <c r="N377" s="207"/>
      <c r="O377" s="194">
        <f>E377</f>
        <v>0</v>
      </c>
      <c r="P377" s="143"/>
      <c r="Q377" s="156"/>
      <c r="R377" s="143"/>
      <c r="S377" s="180"/>
      <c r="T377" s="143"/>
      <c r="U377" s="143"/>
      <c r="V377" s="143"/>
    </row>
    <row r="378" spans="1:22" ht="25" customHeight="1" thickBot="1" x14ac:dyDescent="0.4">
      <c r="A378" s="215">
        <v>69655</v>
      </c>
      <c r="B378" s="270"/>
      <c r="C378" s="217"/>
      <c r="D378" s="218"/>
      <c r="E378" s="219"/>
      <c r="F378" s="219"/>
      <c r="G378" s="219"/>
      <c r="H378" s="219"/>
      <c r="I378" s="219"/>
      <c r="J378" s="219"/>
      <c r="K378" s="219"/>
      <c r="L378" s="219"/>
      <c r="M378" s="219"/>
      <c r="N378" s="220"/>
      <c r="O378" s="219"/>
      <c r="P378" s="221">
        <f>A378</f>
        <v>69655</v>
      </c>
      <c r="Q378" s="220"/>
      <c r="R378" s="219"/>
      <c r="S378" s="219"/>
      <c r="T378" s="219"/>
      <c r="U378" s="222"/>
      <c r="V378" s="219"/>
    </row>
    <row r="379" spans="1:22" ht="25" customHeight="1" x14ac:dyDescent="0.35">
      <c r="A379" s="213"/>
      <c r="B379" s="276" t="s">
        <v>474</v>
      </c>
      <c r="C379" s="173"/>
      <c r="D379" s="174"/>
      <c r="E379" s="175"/>
      <c r="F379" s="175"/>
      <c r="G379" s="175">
        <f>E379-F379</f>
        <v>0</v>
      </c>
      <c r="H379" s="175">
        <f>G379*18%</f>
        <v>0</v>
      </c>
      <c r="I379" s="175">
        <f>G379+H379</f>
        <v>0</v>
      </c>
      <c r="J379" s="175">
        <f>G379*1%</f>
        <v>0</v>
      </c>
      <c r="K379" s="175">
        <f>G379*5%</f>
        <v>0</v>
      </c>
      <c r="L379" s="175"/>
      <c r="M379" s="175"/>
      <c r="N379" s="179">
        <f>H379</f>
        <v>0</v>
      </c>
      <c r="O379" s="175">
        <f>ROUND(I379-SUM(J379:N379),0)</f>
        <v>0</v>
      </c>
      <c r="P379" s="188"/>
      <c r="Q379" s="242"/>
      <c r="R379" s="175"/>
      <c r="S379" s="176">
        <v>250000</v>
      </c>
      <c r="T379" s="176">
        <v>247500</v>
      </c>
      <c r="U379" s="176" t="s">
        <v>483</v>
      </c>
      <c r="V379" s="175">
        <v>-250000</v>
      </c>
    </row>
    <row r="380" spans="1:22" ht="25" customHeight="1" thickBot="1" x14ac:dyDescent="0.4">
      <c r="A380" s="195"/>
      <c r="B380" s="273" t="s">
        <v>243</v>
      </c>
      <c r="C380" s="141"/>
      <c r="D380" s="142"/>
      <c r="E380" s="244"/>
      <c r="F380" s="143"/>
      <c r="G380" s="143"/>
      <c r="H380" s="143"/>
      <c r="I380" s="143"/>
      <c r="J380" s="143"/>
      <c r="K380" s="143"/>
      <c r="L380" s="143"/>
      <c r="M380" s="143"/>
      <c r="N380" s="207"/>
      <c r="O380" s="194">
        <f>E380</f>
        <v>0</v>
      </c>
      <c r="P380" s="143"/>
      <c r="Q380" s="156"/>
      <c r="R380" s="143"/>
      <c r="S380" s="180"/>
      <c r="T380" s="143"/>
      <c r="U380" s="143"/>
      <c r="V380" s="143"/>
    </row>
    <row r="381" spans="1:22" ht="25" customHeight="1" thickBot="1" x14ac:dyDescent="0.4">
      <c r="A381" s="215">
        <v>69656</v>
      </c>
      <c r="B381" s="270"/>
      <c r="C381" s="217"/>
      <c r="D381" s="218"/>
      <c r="E381" s="219"/>
      <c r="F381" s="219"/>
      <c r="G381" s="219"/>
      <c r="H381" s="219"/>
      <c r="I381" s="219"/>
      <c r="J381" s="219"/>
      <c r="K381" s="219"/>
      <c r="L381" s="219"/>
      <c r="M381" s="219"/>
      <c r="N381" s="220"/>
      <c r="O381" s="219"/>
      <c r="P381" s="221">
        <f>A381</f>
        <v>69656</v>
      </c>
      <c r="Q381" s="220"/>
      <c r="R381" s="219"/>
      <c r="S381" s="219"/>
      <c r="T381" s="219"/>
      <c r="U381" s="222"/>
      <c r="V381" s="219"/>
    </row>
    <row r="382" spans="1:22" ht="25" customHeight="1" x14ac:dyDescent="0.35">
      <c r="A382" s="213"/>
      <c r="B382" s="276" t="s">
        <v>474</v>
      </c>
      <c r="C382" s="173"/>
      <c r="D382" s="174"/>
      <c r="E382" s="175"/>
      <c r="F382" s="175"/>
      <c r="G382" s="175">
        <f>E382-F382</f>
        <v>0</v>
      </c>
      <c r="H382" s="175">
        <f>G382*18%</f>
        <v>0</v>
      </c>
      <c r="I382" s="175">
        <f>G382+H382</f>
        <v>0</v>
      </c>
      <c r="J382" s="175">
        <f>G382*1%</f>
        <v>0</v>
      </c>
      <c r="K382" s="175">
        <f>G382*5%</f>
        <v>0</v>
      </c>
      <c r="L382" s="175"/>
      <c r="M382" s="175"/>
      <c r="N382" s="242"/>
      <c r="O382" s="242"/>
      <c r="P382" s="188"/>
      <c r="Q382" s="242"/>
      <c r="R382" s="175"/>
      <c r="S382" s="176">
        <v>250000</v>
      </c>
      <c r="T382" s="176">
        <v>247500</v>
      </c>
      <c r="U382" s="176" t="s">
        <v>482</v>
      </c>
      <c r="V382" s="175">
        <v>-250000</v>
      </c>
    </row>
    <row r="383" spans="1:22" ht="25" customHeight="1" thickBot="1" x14ac:dyDescent="0.4">
      <c r="A383" s="195"/>
      <c r="B383" s="272" t="s">
        <v>243</v>
      </c>
      <c r="C383" s="117"/>
      <c r="D383" s="118"/>
      <c r="E383" s="184"/>
      <c r="F383" s="119"/>
      <c r="G383" s="119"/>
      <c r="H383" s="119"/>
      <c r="I383" s="119"/>
      <c r="J383" s="119"/>
      <c r="K383" s="119"/>
      <c r="L383" s="119"/>
      <c r="M383" s="119"/>
      <c r="N383" s="155"/>
      <c r="O383" s="155"/>
      <c r="P383" s="143"/>
      <c r="Q383" s="155"/>
      <c r="R383" s="119"/>
      <c r="S383" s="158"/>
      <c r="T383" s="119"/>
      <c r="U383" s="119"/>
      <c r="V383" s="119"/>
    </row>
    <row r="384" spans="1:22" ht="25" customHeight="1" x14ac:dyDescent="0.35">
      <c r="A384" s="140"/>
      <c r="B384" s="127"/>
      <c r="C384" s="127"/>
      <c r="D384" s="138"/>
      <c r="E384" s="128">
        <f>SUM(E7:E383)</f>
        <v>84449692.403599992</v>
      </c>
      <c r="F384" s="128">
        <f t="shared" ref="F384" si="96">SUM(F7:F383)</f>
        <v>15862702.677999999</v>
      </c>
      <c r="G384" s="128">
        <f>SUM(G7:G383)</f>
        <v>58124566.519999996</v>
      </c>
      <c r="H384" s="128">
        <f t="shared" ref="H384" si="97">SUM(H7:H383)</f>
        <v>10462423.9136</v>
      </c>
      <c r="I384" s="128">
        <f t="shared" ref="I384:N384" si="98">SUM(I7:I383)</f>
        <v>68586990.433599994</v>
      </c>
      <c r="J384" s="128">
        <f t="shared" si="98"/>
        <v>579581.4051999998</v>
      </c>
      <c r="K384" s="128">
        <f t="shared" si="98"/>
        <v>2897904.0260000001</v>
      </c>
      <c r="L384" s="128">
        <f t="shared" si="98"/>
        <v>0</v>
      </c>
      <c r="M384" s="128">
        <f t="shared" si="98"/>
        <v>607682.83200000017</v>
      </c>
      <c r="N384" s="128">
        <f t="shared" si="98"/>
        <v>10462423.9136</v>
      </c>
      <c r="O384" s="128">
        <f>SUM(O7:O383)</f>
        <v>64501823.430399992</v>
      </c>
      <c r="P384" s="61"/>
      <c r="Q384" s="128">
        <f t="shared" ref="Q384:R384" si="99">SUM(Q7:Q383)</f>
        <v>126652635.5</v>
      </c>
      <c r="R384" s="128">
        <f t="shared" si="99"/>
        <v>-3909957.5</v>
      </c>
      <c r="S384" s="128">
        <f>SUM(S7:S383)</f>
        <v>131787593</v>
      </c>
      <c r="T384" s="128">
        <f>SUM(T7:T383)</f>
        <v>130110593</v>
      </c>
      <c r="U384" s="127"/>
      <c r="V384" s="128">
        <f>SUM(V7:V383)</f>
        <v>-67285769.569600001</v>
      </c>
    </row>
    <row r="385" spans="1:22" ht="25" customHeight="1" thickBot="1" x14ac:dyDescent="0.4">
      <c r="A385" s="134"/>
      <c r="B385" s="129"/>
      <c r="C385" s="129"/>
      <c r="D385" s="139" t="s">
        <v>243</v>
      </c>
      <c r="E385" s="129">
        <f>E365+E358+E351+E346+E339+E333+E328+E323+E318+E314+E310+E305+E301+E296+E280+E273+E271+E268+E264+E251+E249+E244+E240+E236+E234+E231+E221+E217+E206+E204+E194+E191+E187+E186+E184+E177+E173+E172+E166+E165+E164+E159+E157+E156+E151+E150+E149+E141+E139+E137+E135+E134+E125+E121+E114+E93+E95+E106+E104+E103+E100++E91+E89+E79+E77+E75+E74+E68+E66+E65+E63+E57+E53+E52+E50+E44+E42+E39+E33+E31+E29+E27+E24+E22+E21+E18+E14+E13+E12+E55+E123+E155+E168+E175+E189+E219+E233+E242+E266+E45</f>
        <v>10462423.653599998</v>
      </c>
      <c r="F385" s="129"/>
      <c r="G385" s="129"/>
      <c r="H385" s="129"/>
      <c r="I385" s="129"/>
      <c r="J385" s="129"/>
      <c r="K385" s="129"/>
      <c r="L385" s="129"/>
      <c r="M385" s="129"/>
      <c r="N385" s="147"/>
      <c r="O385" s="95"/>
      <c r="P385" s="62"/>
      <c r="Q385" s="157"/>
      <c r="R385" s="130"/>
      <c r="S385" s="183"/>
      <c r="T385" s="130"/>
      <c r="U385" s="129"/>
      <c r="V385" s="130"/>
    </row>
    <row r="386" spans="1:22" ht="25" customHeight="1" thickBot="1" x14ac:dyDescent="0.4">
      <c r="E386" s="17">
        <f>E384-E385</f>
        <v>73987268.75</v>
      </c>
      <c r="G386" s="17"/>
      <c r="J386" s="1"/>
      <c r="K386" s="69"/>
      <c r="S386" s="183"/>
      <c r="T386" s="130"/>
    </row>
    <row r="387" spans="1:22" ht="25" customHeight="1" x14ac:dyDescent="0.35">
      <c r="E387" s="17"/>
      <c r="N387" s="152"/>
      <c r="O387" s="5"/>
      <c r="P387" s="17"/>
    </row>
    <row r="388" spans="1:22" ht="25" customHeight="1" thickBot="1" x14ac:dyDescent="0.4">
      <c r="E388" s="17"/>
      <c r="R388" s="17"/>
      <c r="S388" s="17"/>
      <c r="V388" s="17"/>
    </row>
    <row r="389" spans="1:22" ht="25" customHeight="1" thickBot="1" x14ac:dyDescent="0.4">
      <c r="D389" s="182"/>
      <c r="E389" s="17"/>
      <c r="G389" s="295" t="s">
        <v>381</v>
      </c>
      <c r="H389" s="296"/>
      <c r="I389" s="296"/>
      <c r="J389" s="297"/>
      <c r="S389" s="17"/>
    </row>
    <row r="390" spans="1:22" ht="25" customHeight="1" thickBot="1" x14ac:dyDescent="0.4">
      <c r="C390" s="17"/>
      <c r="G390" s="298">
        <v>45879</v>
      </c>
      <c r="H390" s="299"/>
      <c r="I390" s="299"/>
      <c r="J390" s="300"/>
    </row>
    <row r="391" spans="1:22" ht="25" customHeight="1" x14ac:dyDescent="0.35">
      <c r="G391" s="301" t="s">
        <v>177</v>
      </c>
      <c r="H391" s="302"/>
      <c r="I391" s="303">
        <f>K384+M384</f>
        <v>3505586.858</v>
      </c>
      <c r="J391" s="304"/>
      <c r="O391" s="17"/>
    </row>
    <row r="392" spans="1:22" ht="25" customHeight="1" x14ac:dyDescent="0.35">
      <c r="G392" s="305" t="s">
        <v>496</v>
      </c>
      <c r="H392" s="306"/>
      <c r="I392" s="307">
        <f>SUM(O384-S384)</f>
        <v>-67285769.569600016</v>
      </c>
      <c r="J392" s="308"/>
    </row>
    <row r="393" spans="1:22" ht="25" customHeight="1" thickBot="1" x14ac:dyDescent="0.4">
      <c r="G393" s="291" t="s">
        <v>200</v>
      </c>
      <c r="H393" s="292"/>
      <c r="I393" s="293">
        <v>4178065.2317599999</v>
      </c>
      <c r="J393" s="294"/>
    </row>
    <row r="394" spans="1:22" ht="25" customHeight="1" x14ac:dyDescent="0.35">
      <c r="G394" s="284"/>
      <c r="H394" s="284"/>
      <c r="I394" s="284"/>
      <c r="J394" s="284"/>
    </row>
    <row r="395" spans="1:22" ht="25" customHeight="1" x14ac:dyDescent="0.35">
      <c r="G395" s="285"/>
      <c r="H395" s="285"/>
      <c r="I395" s="285"/>
      <c r="J395" s="277"/>
    </row>
    <row r="396" spans="1:22" ht="25" customHeight="1" x14ac:dyDescent="0.35">
      <c r="G396" s="285"/>
      <c r="H396" s="285"/>
      <c r="I396" s="285"/>
      <c r="J396" s="277"/>
    </row>
    <row r="397" spans="1:22" ht="25" customHeight="1" x14ac:dyDescent="0.35">
      <c r="G397" s="284"/>
      <c r="H397" s="284"/>
      <c r="I397" s="284"/>
      <c r="J397" s="284"/>
    </row>
  </sheetData>
  <mergeCells count="17">
    <mergeCell ref="A1:D1"/>
    <mergeCell ref="G394:H394"/>
    <mergeCell ref="G393:H393"/>
    <mergeCell ref="I393:J393"/>
    <mergeCell ref="G389:J389"/>
    <mergeCell ref="G390:J390"/>
    <mergeCell ref="G391:H391"/>
    <mergeCell ref="I391:J391"/>
    <mergeCell ref="G392:H392"/>
    <mergeCell ref="I392:J392"/>
    <mergeCell ref="I394:J394"/>
    <mergeCell ref="A2:D2"/>
    <mergeCell ref="G397:H397"/>
    <mergeCell ref="I397:J397"/>
    <mergeCell ref="G395:I395"/>
    <mergeCell ref="G396:I396"/>
    <mergeCell ref="W27:AB27"/>
  </mergeCells>
  <phoneticPr fontId="17" type="noConversion"/>
  <pageMargins left="0.70866141732283472" right="0.70866141732283472" top="0.74803149606299213" bottom="0.74803149606299213" header="0.31496062992125984" footer="0.31496062992125984"/>
  <pageSetup paperSize="9" scale="27" fitToHeight="0" orientation="landscape" r:id="rId1"/>
  <rowBreaks count="6" manualBreakCount="6">
    <brk id="42" max="21" man="1"/>
    <brk id="97" max="21" man="1"/>
    <brk id="144" max="21" man="1"/>
    <brk id="181" max="21" man="1"/>
    <brk id="228" max="21" man="1"/>
    <brk id="39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U103"/>
  <sheetViews>
    <sheetView topLeftCell="A85" zoomScaleSheetLayoutView="55" workbookViewId="0">
      <selection activeCell="H66" sqref="H65:H66"/>
    </sheetView>
  </sheetViews>
  <sheetFormatPr defaultColWidth="9" defaultRowHeight="25" customHeight="1" x14ac:dyDescent="0.35"/>
  <cols>
    <col min="1" max="1" width="4.453125" style="2" bestFit="1" customWidth="1"/>
    <col min="2" max="2" width="10" style="2" bestFit="1" customWidth="1"/>
    <col min="3" max="3" width="10" style="1" bestFit="1" customWidth="1"/>
    <col min="4" max="4" width="52.7265625" style="2" customWidth="1"/>
    <col min="5" max="5" width="13.1796875" style="2" bestFit="1" customWidth="1"/>
    <col min="6" max="6" width="11.7265625" style="2" customWidth="1"/>
    <col min="7" max="7" width="12.1796875" style="2" bestFit="1" customWidth="1"/>
    <col min="8" max="8" width="11.453125" style="2" bestFit="1" customWidth="1"/>
    <col min="9" max="9" width="15.54296875" style="2" bestFit="1" customWidth="1"/>
    <col min="10" max="10" width="11.54296875" style="3" bestFit="1" customWidth="1"/>
    <col min="11" max="11" width="21.453125" style="3" bestFit="1" customWidth="1"/>
    <col min="12" max="12" width="9.7265625" style="2" bestFit="1" customWidth="1"/>
    <col min="13" max="13" width="17.1796875" style="2" bestFit="1" customWidth="1"/>
    <col min="14" max="14" width="12.453125" style="2" hidden="1" customWidth="1"/>
    <col min="15" max="15" width="17.1796875" style="2" bestFit="1" customWidth="1"/>
    <col min="16" max="16" width="14.453125" style="2" bestFit="1" customWidth="1"/>
    <col min="17" max="17" width="16.7265625" style="2" bestFit="1" customWidth="1"/>
    <col min="18" max="18" width="7.26953125" style="1" customWidth="1"/>
    <col min="19" max="19" width="21.7265625" style="2" bestFit="1" customWidth="1"/>
    <col min="20" max="20" width="16.81640625" style="2" bestFit="1" customWidth="1"/>
    <col min="21" max="21" width="117.1796875" style="2" bestFit="1" customWidth="1"/>
    <col min="22" max="16384" width="9" style="2"/>
  </cols>
  <sheetData>
    <row r="1" spans="1:21" ht="25" customHeight="1" x14ac:dyDescent="0.35">
      <c r="B1" s="313" t="s">
        <v>128</v>
      </c>
      <c r="C1" s="314"/>
      <c r="D1" s="79" t="s">
        <v>131</v>
      </c>
      <c r="F1" s="75"/>
      <c r="G1" s="76"/>
      <c r="H1" s="76"/>
      <c r="I1" s="76"/>
      <c r="J1" s="70"/>
      <c r="K1" s="70"/>
      <c r="L1" s="75"/>
    </row>
    <row r="2" spans="1:21" ht="25" customHeight="1" x14ac:dyDescent="0.35">
      <c r="B2" s="313" t="s">
        <v>130</v>
      </c>
      <c r="C2" s="314"/>
      <c r="D2" s="80" t="s">
        <v>1</v>
      </c>
      <c r="F2" s="71"/>
      <c r="G2" s="75"/>
      <c r="H2" s="75"/>
      <c r="I2" s="72"/>
      <c r="J2" s="70"/>
      <c r="K2" s="72"/>
      <c r="L2" s="73"/>
      <c r="M2" s="4"/>
      <c r="N2" s="4"/>
      <c r="O2" s="4"/>
      <c r="P2" s="4"/>
      <c r="Q2" s="4"/>
      <c r="R2" s="40"/>
      <c r="S2" s="4"/>
      <c r="T2" s="4"/>
    </row>
    <row r="3" spans="1:21" ht="25" customHeight="1" x14ac:dyDescent="0.35">
      <c r="B3" s="313" t="s">
        <v>129</v>
      </c>
      <c r="C3" s="314"/>
      <c r="D3" s="80" t="s">
        <v>2</v>
      </c>
      <c r="F3" s="73"/>
      <c r="G3" s="73"/>
      <c r="H3" s="73"/>
      <c r="I3" s="73"/>
      <c r="J3" s="74"/>
      <c r="K3" s="74"/>
      <c r="L3" s="73"/>
      <c r="M3" s="4"/>
      <c r="N3" s="4"/>
      <c r="O3" s="4"/>
      <c r="S3" s="4"/>
      <c r="T3" s="6"/>
      <c r="U3" s="6"/>
    </row>
    <row r="4" spans="1:21" ht="25" customHeight="1" x14ac:dyDescent="0.35">
      <c r="B4" s="315" t="s">
        <v>0</v>
      </c>
      <c r="C4" s="316"/>
      <c r="D4" s="317"/>
      <c r="G4" s="75"/>
      <c r="H4" s="75"/>
      <c r="I4" s="72"/>
      <c r="J4" s="2"/>
      <c r="K4" s="2"/>
      <c r="L4" s="73"/>
      <c r="M4" s="4"/>
      <c r="N4" s="4"/>
      <c r="O4" s="4"/>
      <c r="P4" s="4"/>
      <c r="Q4" s="4"/>
      <c r="R4" s="40"/>
      <c r="S4" s="4"/>
      <c r="T4" s="4"/>
    </row>
    <row r="5" spans="1:21" ht="25" customHeight="1" thickBot="1" x14ac:dyDescent="0.4">
      <c r="C5" s="77"/>
      <c r="D5" s="78"/>
      <c r="E5" s="73"/>
      <c r="F5" s="73"/>
      <c r="G5" s="73"/>
      <c r="H5" s="73"/>
      <c r="I5" s="73"/>
      <c r="J5" s="74"/>
      <c r="K5" s="74"/>
      <c r="L5" s="73"/>
      <c r="M5" s="4"/>
      <c r="N5" s="4"/>
      <c r="O5" s="4"/>
      <c r="S5" s="4"/>
      <c r="T5" s="6"/>
      <c r="U5" s="6"/>
    </row>
    <row r="6" spans="1:21" ht="25" customHeight="1" x14ac:dyDescent="0.35">
      <c r="A6" s="89"/>
      <c r="B6" s="94"/>
      <c r="C6" s="87"/>
      <c r="D6" s="81" t="s">
        <v>3</v>
      </c>
      <c r="E6" s="25" t="s">
        <v>4</v>
      </c>
      <c r="F6" s="25" t="s">
        <v>5</v>
      </c>
      <c r="G6" s="25" t="s">
        <v>6</v>
      </c>
      <c r="H6" s="25" t="s">
        <v>7</v>
      </c>
      <c r="I6" s="26" t="s">
        <v>8</v>
      </c>
      <c r="J6" s="27" t="s">
        <v>9</v>
      </c>
      <c r="K6" s="28" t="s">
        <v>10</v>
      </c>
      <c r="L6" s="26" t="s">
        <v>11</v>
      </c>
      <c r="M6" s="26" t="s">
        <v>12</v>
      </c>
      <c r="N6" s="26" t="s">
        <v>13</v>
      </c>
      <c r="O6" s="26" t="s">
        <v>14</v>
      </c>
      <c r="P6" s="26" t="s">
        <v>15</v>
      </c>
      <c r="Q6" s="29" t="s">
        <v>16</v>
      </c>
      <c r="R6" s="42"/>
      <c r="S6" s="45" t="s">
        <v>17</v>
      </c>
      <c r="T6" s="26" t="s">
        <v>18</v>
      </c>
      <c r="U6" s="29" t="s">
        <v>19</v>
      </c>
    </row>
    <row r="7" spans="1:21" ht="25" customHeight="1" thickBot="1" x14ac:dyDescent="0.4">
      <c r="A7" s="90"/>
      <c r="B7" s="95"/>
      <c r="C7" s="88"/>
      <c r="D7" s="14"/>
      <c r="E7" s="13"/>
      <c r="F7" s="13"/>
      <c r="G7" s="13"/>
      <c r="H7" s="13"/>
      <c r="I7" s="13"/>
      <c r="J7" s="38">
        <v>0.18</v>
      </c>
      <c r="K7" s="13"/>
      <c r="L7" s="38">
        <v>0.01</v>
      </c>
      <c r="M7" s="38">
        <v>0.05</v>
      </c>
      <c r="N7" s="38">
        <v>0</v>
      </c>
      <c r="O7" s="38">
        <v>0.1</v>
      </c>
      <c r="P7" s="38">
        <v>0.18</v>
      </c>
      <c r="Q7" s="15"/>
      <c r="R7" s="48"/>
      <c r="S7" s="14"/>
      <c r="T7" s="13"/>
      <c r="U7" s="15"/>
    </row>
    <row r="8" spans="1:21" ht="25" customHeight="1" x14ac:dyDescent="0.35">
      <c r="A8" s="91"/>
      <c r="B8" s="96"/>
      <c r="C8" s="82">
        <v>52629</v>
      </c>
      <c r="D8" s="99" t="s">
        <v>28</v>
      </c>
      <c r="E8" s="35">
        <v>44946</v>
      </c>
      <c r="F8" s="36">
        <v>8</v>
      </c>
      <c r="G8" s="8">
        <v>1164000</v>
      </c>
      <c r="H8" s="8">
        <v>506542</v>
      </c>
      <c r="I8" s="11">
        <f>ROUND(G8-H8,)</f>
        <v>657458</v>
      </c>
      <c r="J8" s="11">
        <f>ROUND(I8*$J$7,0)</f>
        <v>118342</v>
      </c>
      <c r="K8" s="11">
        <f>I8+J8</f>
        <v>775800</v>
      </c>
      <c r="L8" s="11"/>
      <c r="M8" s="11"/>
      <c r="N8" s="11"/>
      <c r="O8" s="11"/>
      <c r="P8" s="11"/>
      <c r="Q8" s="12"/>
      <c r="R8" s="47">
        <v>52629</v>
      </c>
      <c r="S8" s="7" t="s">
        <v>30</v>
      </c>
      <c r="T8" s="8">
        <v>594000</v>
      </c>
      <c r="U8" s="37" t="s">
        <v>31</v>
      </c>
    </row>
    <row r="9" spans="1:21" ht="25" customHeight="1" x14ac:dyDescent="0.35">
      <c r="A9" s="92"/>
      <c r="B9" s="97"/>
      <c r="C9" s="83"/>
      <c r="D9" s="100" t="s">
        <v>29</v>
      </c>
      <c r="E9" s="23">
        <v>45000</v>
      </c>
      <c r="F9" s="20">
        <v>8</v>
      </c>
      <c r="G9" s="11">
        <v>118342.46</v>
      </c>
      <c r="H9" s="11"/>
      <c r="I9" s="11"/>
      <c r="J9" s="11"/>
      <c r="K9" s="11"/>
      <c r="L9" s="11"/>
      <c r="M9" s="11"/>
      <c r="N9" s="11"/>
      <c r="O9" s="11"/>
      <c r="P9" s="11"/>
      <c r="Q9" s="12">
        <f>G9</f>
        <v>118342.46</v>
      </c>
      <c r="R9" s="10"/>
      <c r="S9" s="9" t="s">
        <v>32</v>
      </c>
      <c r="T9" s="11">
        <v>495000</v>
      </c>
      <c r="U9" s="31" t="s">
        <v>33</v>
      </c>
    </row>
    <row r="10" spans="1:21" ht="25" customHeight="1" x14ac:dyDescent="0.35">
      <c r="A10" s="92"/>
      <c r="B10" s="97"/>
      <c r="C10" s="83"/>
      <c r="D10" s="100" t="s">
        <v>28</v>
      </c>
      <c r="E10" s="23">
        <v>45031</v>
      </c>
      <c r="F10" s="20">
        <v>4</v>
      </c>
      <c r="G10" s="11">
        <f>3381796*40%-G8</f>
        <v>188718.40000000014</v>
      </c>
      <c r="H10" s="11"/>
      <c r="I10" s="11">
        <f>ROUND(G10-H10,)</f>
        <v>188718</v>
      </c>
      <c r="J10" s="11">
        <f>ROUND(I10*$J$7,0)</f>
        <v>33969</v>
      </c>
      <c r="K10" s="11">
        <f>I10+J10</f>
        <v>222687</v>
      </c>
      <c r="L10" s="11"/>
      <c r="M10" s="11"/>
      <c r="N10" s="11"/>
      <c r="O10" s="11"/>
      <c r="P10" s="11"/>
      <c r="Q10" s="12"/>
      <c r="R10" s="10"/>
      <c r="S10" s="9" t="s">
        <v>112</v>
      </c>
      <c r="T10" s="11">
        <v>247500</v>
      </c>
      <c r="U10" s="12" t="s">
        <v>113</v>
      </c>
    </row>
    <row r="11" spans="1:21" ht="25" customHeight="1" x14ac:dyDescent="0.35">
      <c r="A11" s="93" t="s">
        <v>124</v>
      </c>
      <c r="B11" s="98">
        <v>3381796</v>
      </c>
      <c r="C11" s="84"/>
      <c r="D11" s="101"/>
      <c r="E11" s="63"/>
      <c r="F11" s="64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6"/>
      <c r="R11" s="10"/>
      <c r="S11" s="9"/>
      <c r="T11" s="11"/>
      <c r="U11" s="12"/>
    </row>
    <row r="12" spans="1:21" ht="25" customHeight="1" x14ac:dyDescent="0.35">
      <c r="A12" s="93" t="s">
        <v>125</v>
      </c>
      <c r="B12" s="98">
        <v>3675000</v>
      </c>
      <c r="C12" s="84"/>
      <c r="D12" s="101"/>
      <c r="E12" s="63"/>
      <c r="F12" s="64"/>
      <c r="G12" s="65">
        <f>B12*40%</f>
        <v>1470000</v>
      </c>
      <c r="H12" s="65">
        <f>SUM(H8:H11)</f>
        <v>506542</v>
      </c>
      <c r="I12" s="65">
        <f>G12-H12</f>
        <v>963458</v>
      </c>
      <c r="J12" s="65">
        <f>I12*$J$7</f>
        <v>173422.44</v>
      </c>
      <c r="K12" s="65">
        <f>I12+J12</f>
        <v>1136880.44</v>
      </c>
      <c r="L12" s="65">
        <f>I12*$L$7</f>
        <v>9634.58</v>
      </c>
      <c r="M12" s="65">
        <f>I12*$M$7</f>
        <v>48172.9</v>
      </c>
      <c r="N12" s="65">
        <f>I12*$N$7</f>
        <v>0</v>
      </c>
      <c r="O12" s="65">
        <f>I12*$O$7</f>
        <v>96345.8</v>
      </c>
      <c r="P12" s="65">
        <f>I12*$P$7</f>
        <v>173422.44</v>
      </c>
      <c r="Q12" s="66">
        <f>K12-L12-M12-N12-O12-P12</f>
        <v>809304.72</v>
      </c>
      <c r="R12" s="10"/>
      <c r="S12" s="9"/>
      <c r="T12" s="11"/>
      <c r="U12" s="12"/>
    </row>
    <row r="13" spans="1:21" ht="25" customHeight="1" x14ac:dyDescent="0.35">
      <c r="A13" s="109"/>
      <c r="B13" s="110"/>
      <c r="C13" s="85"/>
      <c r="D13" s="104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32"/>
      <c r="R13" s="21"/>
      <c r="S13" s="16"/>
      <c r="T13" s="19"/>
      <c r="U13" s="33"/>
    </row>
    <row r="14" spans="1:21" ht="25" customHeight="1" x14ac:dyDescent="0.35">
      <c r="A14" s="92"/>
      <c r="B14" s="97"/>
      <c r="C14" s="83">
        <v>52630</v>
      </c>
      <c r="D14" s="100" t="s">
        <v>34</v>
      </c>
      <c r="E14" s="23">
        <v>45279</v>
      </c>
      <c r="F14" s="20">
        <v>7</v>
      </c>
      <c r="G14" s="11">
        <v>1400000</v>
      </c>
      <c r="H14" s="11">
        <v>540666</v>
      </c>
      <c r="I14" s="11">
        <f>ROUND(G14-H14,)</f>
        <v>859334</v>
      </c>
      <c r="J14" s="11">
        <f>ROUND(I14*$J$7,0)</f>
        <v>154680</v>
      </c>
      <c r="K14" s="11">
        <f>I14+J14</f>
        <v>1014014</v>
      </c>
      <c r="L14" s="11"/>
      <c r="M14" s="11"/>
      <c r="N14" s="11"/>
      <c r="O14" s="11"/>
      <c r="P14" s="11"/>
      <c r="Q14" s="12"/>
      <c r="R14" s="10">
        <v>52630</v>
      </c>
      <c r="S14" s="9" t="s">
        <v>35</v>
      </c>
      <c r="T14" s="11">
        <v>594000</v>
      </c>
      <c r="U14" s="30" t="s">
        <v>36</v>
      </c>
    </row>
    <row r="15" spans="1:21" ht="25" customHeight="1" x14ac:dyDescent="0.35">
      <c r="A15" s="92"/>
      <c r="B15" s="97"/>
      <c r="C15" s="83"/>
      <c r="D15" s="102" t="s">
        <v>29</v>
      </c>
      <c r="E15" s="23"/>
      <c r="F15" s="20">
        <v>7</v>
      </c>
      <c r="G15" s="11">
        <v>154680</v>
      </c>
      <c r="H15" s="11"/>
      <c r="I15" s="11"/>
      <c r="J15" s="11"/>
      <c r="K15" s="11"/>
      <c r="L15" s="11"/>
      <c r="M15" s="11"/>
      <c r="N15" s="11"/>
      <c r="O15" s="11"/>
      <c r="P15" s="11"/>
      <c r="Q15" s="12">
        <v>154680</v>
      </c>
      <c r="R15" s="10"/>
      <c r="S15" s="9" t="s">
        <v>37</v>
      </c>
      <c r="T15" s="11">
        <v>495000</v>
      </c>
      <c r="U15" s="31" t="s">
        <v>38</v>
      </c>
    </row>
    <row r="16" spans="1:21" ht="25" customHeight="1" x14ac:dyDescent="0.35">
      <c r="A16" s="92"/>
      <c r="B16" s="97"/>
      <c r="C16" s="83"/>
      <c r="D16" s="100" t="s">
        <v>34</v>
      </c>
      <c r="E16" s="23">
        <v>45031</v>
      </c>
      <c r="F16" s="20">
        <v>5</v>
      </c>
      <c r="G16" s="11">
        <f>(4307222*40%)-G14</f>
        <v>322888.80000000005</v>
      </c>
      <c r="H16" s="11">
        <v>0</v>
      </c>
      <c r="I16" s="11">
        <f>ROUND(G16-H16,)</f>
        <v>322889</v>
      </c>
      <c r="J16" s="11">
        <f>ROUND(I16*$J$7,0)</f>
        <v>58120</v>
      </c>
      <c r="K16" s="11">
        <f>I16+J16</f>
        <v>381009</v>
      </c>
      <c r="L16" s="11"/>
      <c r="M16" s="11"/>
      <c r="N16" s="11"/>
      <c r="O16" s="11"/>
      <c r="P16" s="11"/>
      <c r="Q16" s="12"/>
      <c r="R16" s="10"/>
      <c r="S16" s="9"/>
      <c r="T16" s="11">
        <v>50000</v>
      </c>
      <c r="U16" s="31" t="s">
        <v>39</v>
      </c>
    </row>
    <row r="17" spans="1:21" ht="25" customHeight="1" x14ac:dyDescent="0.35">
      <c r="A17" s="93"/>
      <c r="B17" s="98"/>
      <c r="C17" s="83"/>
      <c r="D17" s="100"/>
      <c r="E17" s="23"/>
      <c r="F17" s="20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2"/>
      <c r="R17" s="10"/>
      <c r="S17" s="9" t="s">
        <v>115</v>
      </c>
      <c r="T17" s="11">
        <v>198000</v>
      </c>
      <c r="U17" s="31" t="s">
        <v>116</v>
      </c>
    </row>
    <row r="18" spans="1:21" ht="25" customHeight="1" x14ac:dyDescent="0.35">
      <c r="A18" s="93" t="s">
        <v>124</v>
      </c>
      <c r="B18" s="98">
        <v>4307222.5</v>
      </c>
      <c r="C18" s="83"/>
      <c r="D18" s="100"/>
      <c r="E18" s="23"/>
      <c r="F18" s="20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2"/>
      <c r="R18" s="10"/>
      <c r="S18" s="9"/>
      <c r="T18" s="11"/>
      <c r="U18" s="31"/>
    </row>
    <row r="19" spans="1:21" ht="25" customHeight="1" x14ac:dyDescent="0.35">
      <c r="A19" s="93" t="s">
        <v>125</v>
      </c>
      <c r="B19" s="98">
        <v>4425000</v>
      </c>
      <c r="C19" s="83"/>
      <c r="D19" s="100"/>
      <c r="E19" s="23"/>
      <c r="F19" s="20"/>
      <c r="G19" s="65">
        <f>B19*40%</f>
        <v>1770000</v>
      </c>
      <c r="H19" s="65">
        <f>SUM(H14:H18)</f>
        <v>540666</v>
      </c>
      <c r="I19" s="65">
        <f>G19-H19</f>
        <v>1229334</v>
      </c>
      <c r="J19" s="65">
        <f>I19*$J$7</f>
        <v>221280.12</v>
      </c>
      <c r="K19" s="65">
        <f>I19+J19</f>
        <v>1450614.12</v>
      </c>
      <c r="L19" s="65">
        <f>I19*$L$7</f>
        <v>12293.34</v>
      </c>
      <c r="M19" s="65">
        <f>I19*$M$7</f>
        <v>61466.700000000004</v>
      </c>
      <c r="N19" s="65">
        <f>I19*$N$7</f>
        <v>0</v>
      </c>
      <c r="O19" s="65">
        <f>I19*$O$7</f>
        <v>122933.40000000001</v>
      </c>
      <c r="P19" s="65">
        <f>I19*$P$7</f>
        <v>221280.12</v>
      </c>
      <c r="Q19" s="66">
        <f>K19-L19-M19-N19-O19-P19</f>
        <v>1032640.5600000002</v>
      </c>
      <c r="R19" s="10"/>
      <c r="S19" s="9"/>
      <c r="T19" s="11"/>
      <c r="U19" s="31"/>
    </row>
    <row r="20" spans="1:21" ht="25" customHeight="1" x14ac:dyDescent="0.35">
      <c r="A20" s="109"/>
      <c r="B20" s="110"/>
      <c r="C20" s="85"/>
      <c r="D20" s="104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32"/>
      <c r="R20" s="21"/>
      <c r="S20" s="16"/>
      <c r="T20" s="19"/>
      <c r="U20" s="33"/>
    </row>
    <row r="21" spans="1:21" ht="25" customHeight="1" x14ac:dyDescent="0.35">
      <c r="A21" s="92"/>
      <c r="B21" s="97"/>
      <c r="C21" s="83">
        <v>52631</v>
      </c>
      <c r="D21" s="100" t="s">
        <v>40</v>
      </c>
      <c r="E21" s="23">
        <v>44904</v>
      </c>
      <c r="F21" s="20">
        <v>2</v>
      </c>
      <c r="G21" s="11">
        <f>3640000*20%</f>
        <v>728000</v>
      </c>
      <c r="H21" s="11">
        <v>255338.02</v>
      </c>
      <c r="I21" s="11">
        <f>ROUND(G21-H21,)</f>
        <v>472662</v>
      </c>
      <c r="J21" s="11">
        <f>ROUND(I21*$J$7,0)</f>
        <v>85079</v>
      </c>
      <c r="K21" s="11">
        <f>I21+J21</f>
        <v>557741</v>
      </c>
      <c r="L21" s="11"/>
      <c r="M21" s="11"/>
      <c r="N21" s="11"/>
      <c r="O21" s="11"/>
      <c r="P21" s="11"/>
      <c r="Q21" s="12"/>
      <c r="R21" s="10">
        <v>52631</v>
      </c>
      <c r="S21" s="9" t="s">
        <v>41</v>
      </c>
      <c r="T21" s="11">
        <v>297000</v>
      </c>
      <c r="U21" s="31" t="s">
        <v>42</v>
      </c>
    </row>
    <row r="22" spans="1:21" ht="25" customHeight="1" x14ac:dyDescent="0.35">
      <c r="A22" s="92"/>
      <c r="B22" s="97"/>
      <c r="C22" s="83"/>
      <c r="D22" s="100" t="s">
        <v>40</v>
      </c>
      <c r="E22" s="23">
        <v>44955</v>
      </c>
      <c r="F22" s="20">
        <v>9</v>
      </c>
      <c r="G22" s="11">
        <f>3640000*20%</f>
        <v>728000</v>
      </c>
      <c r="H22" s="11">
        <v>221963.5</v>
      </c>
      <c r="I22" s="11">
        <f t="shared" ref="I22:I25" si="0">ROUND(G22-H22,)</f>
        <v>506037</v>
      </c>
      <c r="J22" s="11">
        <f>ROUND(I22*$J$7,0)</f>
        <v>91087</v>
      </c>
      <c r="K22" s="11">
        <f t="shared" ref="K22" si="1">I22+J22</f>
        <v>597124</v>
      </c>
      <c r="L22" s="11"/>
      <c r="M22" s="11"/>
      <c r="N22" s="11"/>
      <c r="O22" s="11"/>
      <c r="P22" s="11"/>
      <c r="Q22" s="12"/>
      <c r="R22" s="10"/>
      <c r="S22" s="9" t="s">
        <v>43</v>
      </c>
      <c r="T22" s="11">
        <v>297000</v>
      </c>
      <c r="U22" s="31" t="s">
        <v>44</v>
      </c>
    </row>
    <row r="23" spans="1:21" ht="25" customHeight="1" x14ac:dyDescent="0.35">
      <c r="A23" s="92"/>
      <c r="B23" s="97"/>
      <c r="C23" s="83"/>
      <c r="D23" s="100" t="s">
        <v>29</v>
      </c>
      <c r="E23" s="23">
        <v>44958</v>
      </c>
      <c r="F23" s="20">
        <v>2</v>
      </c>
      <c r="G23" s="11">
        <v>85079</v>
      </c>
      <c r="H23" s="11"/>
      <c r="I23" s="11"/>
      <c r="J23" s="11">
        <v>0</v>
      </c>
      <c r="K23" s="11">
        <v>0</v>
      </c>
      <c r="L23" s="11"/>
      <c r="M23" s="11"/>
      <c r="N23" s="11"/>
      <c r="O23" s="11"/>
      <c r="P23" s="11"/>
      <c r="Q23" s="12">
        <f>G23</f>
        <v>85079</v>
      </c>
      <c r="R23" s="10"/>
      <c r="S23" s="9" t="s">
        <v>45</v>
      </c>
      <c r="T23" s="11">
        <v>198000</v>
      </c>
      <c r="U23" s="31" t="s">
        <v>46</v>
      </c>
    </row>
    <row r="24" spans="1:21" ht="25" customHeight="1" x14ac:dyDescent="0.35">
      <c r="A24" s="92"/>
      <c r="B24" s="97"/>
      <c r="C24" s="83"/>
      <c r="D24" s="100" t="s">
        <v>29</v>
      </c>
      <c r="E24" s="23"/>
      <c r="F24" s="20">
        <v>9</v>
      </c>
      <c r="G24" s="11">
        <v>91086</v>
      </c>
      <c r="H24" s="11"/>
      <c r="I24" s="11"/>
      <c r="J24" s="11"/>
      <c r="K24" s="11"/>
      <c r="L24" s="11"/>
      <c r="M24" s="11"/>
      <c r="N24" s="11"/>
      <c r="O24" s="11"/>
      <c r="P24" s="11"/>
      <c r="Q24" s="12">
        <f>G24</f>
        <v>91086</v>
      </c>
      <c r="R24" s="10"/>
      <c r="S24" s="9" t="s">
        <v>47</v>
      </c>
      <c r="T24" s="11">
        <v>30106</v>
      </c>
      <c r="U24" s="31" t="s">
        <v>48</v>
      </c>
    </row>
    <row r="25" spans="1:21" ht="25" customHeight="1" x14ac:dyDescent="0.35">
      <c r="A25" s="92"/>
      <c r="B25" s="97"/>
      <c r="C25" s="83"/>
      <c r="D25" s="100" t="s">
        <v>40</v>
      </c>
      <c r="E25" s="23">
        <v>45031</v>
      </c>
      <c r="F25" s="20">
        <v>9</v>
      </c>
      <c r="G25" s="11">
        <f>(4251823*40%)-G21-G22</f>
        <v>244729.20000000019</v>
      </c>
      <c r="H25" s="11"/>
      <c r="I25" s="11">
        <f t="shared" si="0"/>
        <v>244729</v>
      </c>
      <c r="J25" s="11">
        <f>ROUND(I25*$J$7,0)</f>
        <v>44051</v>
      </c>
      <c r="K25" s="11">
        <f t="shared" ref="K25" si="2">I25+J25</f>
        <v>288780</v>
      </c>
      <c r="L25" s="11"/>
      <c r="M25" s="11"/>
      <c r="N25" s="11"/>
      <c r="O25" s="11"/>
      <c r="P25" s="11"/>
      <c r="Q25" s="12"/>
      <c r="R25" s="10"/>
      <c r="S25" s="9" t="s">
        <v>49</v>
      </c>
      <c r="T25" s="11">
        <v>85079</v>
      </c>
      <c r="U25" s="31" t="s">
        <v>50</v>
      </c>
    </row>
    <row r="26" spans="1:21" ht="25" customHeight="1" x14ac:dyDescent="0.35">
      <c r="A26" s="92"/>
      <c r="B26" s="97"/>
      <c r="C26" s="83"/>
      <c r="D26" s="100"/>
      <c r="E26" s="23"/>
      <c r="F26" s="20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2"/>
      <c r="R26" s="10"/>
      <c r="S26" s="9"/>
      <c r="T26" s="11">
        <v>198000</v>
      </c>
      <c r="U26" s="31" t="s">
        <v>51</v>
      </c>
    </row>
    <row r="27" spans="1:21" ht="25" customHeight="1" x14ac:dyDescent="0.35">
      <c r="A27" s="92"/>
      <c r="B27" s="97"/>
      <c r="C27" s="83"/>
      <c r="D27" s="100"/>
      <c r="E27" s="23"/>
      <c r="F27" s="20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2"/>
      <c r="R27" s="10"/>
      <c r="S27" s="9" t="s">
        <v>52</v>
      </c>
      <c r="T27" s="11">
        <v>7573</v>
      </c>
      <c r="U27" s="31" t="s">
        <v>53</v>
      </c>
    </row>
    <row r="28" spans="1:21" ht="25" customHeight="1" x14ac:dyDescent="0.35">
      <c r="A28" s="92"/>
      <c r="B28" s="97"/>
      <c r="C28" s="83"/>
      <c r="D28" s="100"/>
      <c r="E28" s="23"/>
      <c r="F28" s="20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2"/>
      <c r="R28" s="10"/>
      <c r="S28" s="9" t="s">
        <v>54</v>
      </c>
      <c r="T28" s="11">
        <v>148500</v>
      </c>
      <c r="U28" s="31" t="s">
        <v>55</v>
      </c>
    </row>
    <row r="29" spans="1:21" ht="25" customHeight="1" x14ac:dyDescent="0.35">
      <c r="A29" s="93" t="s">
        <v>124</v>
      </c>
      <c r="B29" s="98">
        <v>4251823</v>
      </c>
      <c r="C29" s="83"/>
      <c r="D29" s="100"/>
      <c r="E29" s="23"/>
      <c r="F29" s="20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2"/>
      <c r="R29" s="10"/>
      <c r="S29" s="9"/>
      <c r="T29" s="11"/>
      <c r="U29" s="31"/>
    </row>
    <row r="30" spans="1:21" ht="25" customHeight="1" x14ac:dyDescent="0.35">
      <c r="A30" s="93" t="s">
        <v>125</v>
      </c>
      <c r="B30" s="98">
        <v>4235000</v>
      </c>
      <c r="C30" s="83"/>
      <c r="D30" s="100"/>
      <c r="E30" s="23"/>
      <c r="F30" s="20"/>
      <c r="G30" s="65">
        <f>B30*40%</f>
        <v>1694000</v>
      </c>
      <c r="H30" s="65">
        <f>SUM(H21:H29)</f>
        <v>477301.52</v>
      </c>
      <c r="I30" s="65">
        <f>G30-H30</f>
        <v>1216698.48</v>
      </c>
      <c r="J30" s="65">
        <f>I30*$J$7</f>
        <v>219005.72639999999</v>
      </c>
      <c r="K30" s="65">
        <f>I30+J30</f>
        <v>1435704.2064</v>
      </c>
      <c r="L30" s="65">
        <f>I30*$L$7</f>
        <v>12166.9848</v>
      </c>
      <c r="M30" s="65">
        <f>I30*$M$7</f>
        <v>60834.923999999999</v>
      </c>
      <c r="N30" s="65">
        <f>I30*$N$7</f>
        <v>0</v>
      </c>
      <c r="O30" s="65">
        <f>I30*$O$7</f>
        <v>121669.848</v>
      </c>
      <c r="P30" s="65">
        <f>I30*$P$7</f>
        <v>219005.72639999999</v>
      </c>
      <c r="Q30" s="66">
        <f>K30-L30-M30-N30-O30-P30</f>
        <v>1022026.7232000001</v>
      </c>
      <c r="R30" s="10"/>
      <c r="S30" s="46"/>
      <c r="T30" s="18"/>
      <c r="U30" s="31"/>
    </row>
    <row r="31" spans="1:21" ht="25" customHeight="1" x14ac:dyDescent="0.35">
      <c r="A31" s="109"/>
      <c r="B31" s="110"/>
      <c r="C31" s="85"/>
      <c r="D31" s="104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32"/>
      <c r="R31" s="21"/>
      <c r="S31" s="16"/>
      <c r="T31" s="19"/>
      <c r="U31" s="33"/>
    </row>
    <row r="32" spans="1:21" ht="25" customHeight="1" x14ac:dyDescent="0.35">
      <c r="A32" s="92"/>
      <c r="B32" s="97"/>
      <c r="C32" s="83">
        <v>52793</v>
      </c>
      <c r="D32" s="100" t="s">
        <v>56</v>
      </c>
      <c r="E32" s="23">
        <v>44914</v>
      </c>
      <c r="F32" s="20">
        <v>5</v>
      </c>
      <c r="G32" s="11">
        <f>3300000*20%</f>
        <v>660000</v>
      </c>
      <c r="H32" s="11">
        <v>197847</v>
      </c>
      <c r="I32" s="11">
        <f>ROUND(G32-H32,)</f>
        <v>462153</v>
      </c>
      <c r="J32" s="11">
        <f>ROUND(I32*$J$7,0)</f>
        <v>83188</v>
      </c>
      <c r="K32" s="11">
        <f>I32+J32</f>
        <v>545341</v>
      </c>
      <c r="L32" s="11"/>
      <c r="M32" s="11"/>
      <c r="N32" s="11"/>
      <c r="O32" s="11"/>
      <c r="P32" s="11"/>
      <c r="Q32" s="12"/>
      <c r="R32" s="10">
        <v>52793</v>
      </c>
      <c r="S32" s="9" t="s">
        <v>58</v>
      </c>
      <c r="T32" s="11">
        <v>495000</v>
      </c>
      <c r="U32" s="31" t="s">
        <v>59</v>
      </c>
    </row>
    <row r="33" spans="1:21" ht="25" customHeight="1" x14ac:dyDescent="0.35">
      <c r="A33" s="92"/>
      <c r="B33" s="97"/>
      <c r="C33" s="83"/>
      <c r="D33" s="100" t="s">
        <v>57</v>
      </c>
      <c r="E33" s="23">
        <v>44958</v>
      </c>
      <c r="F33" s="20">
        <v>5</v>
      </c>
      <c r="G33" s="11">
        <f>J32</f>
        <v>83188</v>
      </c>
      <c r="H33" s="11"/>
      <c r="I33" s="11">
        <f t="shared" ref="I33" si="3">ROUND(G33-H33,)</f>
        <v>83188</v>
      </c>
      <c r="J33" s="11"/>
      <c r="K33" s="11">
        <f t="shared" ref="K33" si="4">I33+J33</f>
        <v>83188</v>
      </c>
      <c r="L33" s="11"/>
      <c r="M33" s="11"/>
      <c r="N33" s="11"/>
      <c r="O33" s="11"/>
      <c r="P33" s="11"/>
      <c r="Q33" s="12">
        <f t="shared" ref="Q33" si="5">ROUND(K33-SUM(L33:P33),0)</f>
        <v>83188</v>
      </c>
      <c r="R33" s="10"/>
      <c r="S33" s="9" t="s">
        <v>60</v>
      </c>
      <c r="T33" s="11">
        <v>148500</v>
      </c>
      <c r="U33" s="31" t="s">
        <v>61</v>
      </c>
    </row>
    <row r="34" spans="1:21" ht="25" customHeight="1" x14ac:dyDescent="0.35">
      <c r="A34" s="92"/>
      <c r="B34" s="97"/>
      <c r="C34" s="83"/>
      <c r="D34" s="100" t="s">
        <v>56</v>
      </c>
      <c r="E34" s="23">
        <v>45031</v>
      </c>
      <c r="F34" s="20">
        <v>6</v>
      </c>
      <c r="G34" s="11">
        <f>3765301*20%-G32</f>
        <v>93060.20000000007</v>
      </c>
      <c r="H34" s="11"/>
      <c r="I34" s="11">
        <f>ROUND(G34-H34,)</f>
        <v>93060</v>
      </c>
      <c r="J34" s="11">
        <f>ROUND(I34*$J$7,0)</f>
        <v>16751</v>
      </c>
      <c r="K34" s="11">
        <f>I34+J34</f>
        <v>109811</v>
      </c>
      <c r="L34" s="11"/>
      <c r="M34" s="11"/>
      <c r="N34" s="11"/>
      <c r="O34" s="11"/>
      <c r="P34" s="11"/>
      <c r="Q34" s="12"/>
      <c r="R34" s="10"/>
      <c r="S34" s="9"/>
      <c r="T34" s="11">
        <v>247500</v>
      </c>
      <c r="U34" s="12" t="s">
        <v>114</v>
      </c>
    </row>
    <row r="35" spans="1:21" ht="25" customHeight="1" x14ac:dyDescent="0.35">
      <c r="A35" s="93"/>
      <c r="B35" s="98"/>
      <c r="C35" s="83"/>
      <c r="D35" s="103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2"/>
      <c r="R35" s="10"/>
      <c r="S35" s="9"/>
      <c r="T35" s="11">
        <v>198000</v>
      </c>
      <c r="U35" s="12" t="s">
        <v>120</v>
      </c>
    </row>
    <row r="36" spans="1:21" ht="25" customHeight="1" x14ac:dyDescent="0.35">
      <c r="A36" s="93" t="s">
        <v>124</v>
      </c>
      <c r="B36" s="98">
        <v>3765301</v>
      </c>
      <c r="C36" s="83"/>
      <c r="D36" s="103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2"/>
      <c r="R36" s="10"/>
      <c r="S36" s="46"/>
      <c r="T36" s="18"/>
      <c r="U36" s="31"/>
    </row>
    <row r="37" spans="1:21" ht="25" customHeight="1" x14ac:dyDescent="0.35">
      <c r="A37" s="93" t="s">
        <v>125</v>
      </c>
      <c r="B37" s="98">
        <v>3960000</v>
      </c>
      <c r="C37" s="83"/>
      <c r="D37" s="103"/>
      <c r="E37" s="11"/>
      <c r="F37" s="11"/>
      <c r="G37" s="65">
        <f>B37*20%</f>
        <v>792000</v>
      </c>
      <c r="H37" s="65">
        <f>SUM(H32:H36)</f>
        <v>197847</v>
      </c>
      <c r="I37" s="65">
        <f>G37-H37</f>
        <v>594153</v>
      </c>
      <c r="J37" s="65">
        <f>I37*$J$7</f>
        <v>106947.54</v>
      </c>
      <c r="K37" s="65">
        <f>I37+J37</f>
        <v>701100.54</v>
      </c>
      <c r="L37" s="65">
        <f>I37*$L$7</f>
        <v>5941.53</v>
      </c>
      <c r="M37" s="65">
        <f>I37*$M$7</f>
        <v>29707.65</v>
      </c>
      <c r="N37" s="65">
        <f>I37*$N$7</f>
        <v>0</v>
      </c>
      <c r="O37" s="65">
        <f>I37*$O$7</f>
        <v>59415.3</v>
      </c>
      <c r="P37" s="65">
        <f>I37*$P$7</f>
        <v>106947.54</v>
      </c>
      <c r="Q37" s="66">
        <f>K37-L37-M37-N37-O37-P37</f>
        <v>499088.51999999996</v>
      </c>
      <c r="R37" s="10"/>
      <c r="S37" s="46"/>
      <c r="T37" s="18"/>
      <c r="U37" s="31"/>
    </row>
    <row r="38" spans="1:21" ht="25" customHeight="1" x14ac:dyDescent="0.35">
      <c r="A38" s="109"/>
      <c r="B38" s="110"/>
      <c r="C38" s="85"/>
      <c r="D38" s="104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32"/>
      <c r="R38" s="21"/>
      <c r="S38" s="16"/>
      <c r="T38" s="19"/>
      <c r="U38" s="33"/>
    </row>
    <row r="39" spans="1:21" ht="25" customHeight="1" x14ac:dyDescent="0.25">
      <c r="A39" s="92"/>
      <c r="B39" s="97"/>
      <c r="C39" s="83">
        <v>52796</v>
      </c>
      <c r="D39" s="103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2"/>
      <c r="R39" s="10">
        <v>52796</v>
      </c>
      <c r="S39" s="9" t="s">
        <v>21</v>
      </c>
      <c r="T39" s="11">
        <v>495000</v>
      </c>
      <c r="U39" s="113" t="s">
        <v>22</v>
      </c>
    </row>
    <row r="40" spans="1:21" ht="25" customHeight="1" x14ac:dyDescent="0.35">
      <c r="A40" s="92"/>
      <c r="B40" s="97"/>
      <c r="C40" s="83"/>
      <c r="D40" s="103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2"/>
      <c r="R40" s="10"/>
      <c r="S40" s="9"/>
      <c r="T40" s="11"/>
      <c r="U40" s="31"/>
    </row>
    <row r="41" spans="1:21" ht="25" customHeight="1" x14ac:dyDescent="0.35">
      <c r="A41" s="92"/>
      <c r="B41" s="97"/>
      <c r="C41" s="83"/>
      <c r="D41" s="103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2"/>
      <c r="R41" s="10"/>
      <c r="S41" s="9"/>
      <c r="T41" s="11"/>
      <c r="U41" s="31"/>
    </row>
    <row r="42" spans="1:21" ht="25" customHeight="1" x14ac:dyDescent="0.35">
      <c r="A42" s="109"/>
      <c r="B42" s="110"/>
      <c r="C42" s="85"/>
      <c r="D42" s="104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32"/>
      <c r="R42" s="21"/>
      <c r="S42" s="16"/>
      <c r="T42" s="19"/>
      <c r="U42" s="33"/>
    </row>
    <row r="43" spans="1:21" ht="25" customHeight="1" x14ac:dyDescent="0.35">
      <c r="A43" s="92"/>
      <c r="B43" s="97"/>
      <c r="C43" s="83">
        <v>56009</v>
      </c>
      <c r="D43" s="100" t="s">
        <v>20</v>
      </c>
      <c r="E43" s="23">
        <v>45012</v>
      </c>
      <c r="F43" s="20">
        <v>27</v>
      </c>
      <c r="G43" s="11">
        <f>3097314*10%</f>
        <v>309731.40000000002</v>
      </c>
      <c r="H43" s="11">
        <v>231489.49</v>
      </c>
      <c r="I43" s="11">
        <f>ROUND(G43-H43,)</f>
        <v>78242</v>
      </c>
      <c r="J43" s="11">
        <f>ROUND(I43*$J$7,0)</f>
        <v>14084</v>
      </c>
      <c r="K43" s="11">
        <f>I43+J43</f>
        <v>92326</v>
      </c>
      <c r="L43" s="11"/>
      <c r="M43" s="11"/>
      <c r="N43" s="11"/>
      <c r="O43" s="11"/>
      <c r="P43" s="11"/>
      <c r="Q43" s="12"/>
      <c r="R43" s="10">
        <v>56009</v>
      </c>
      <c r="S43" s="9" t="s">
        <v>21</v>
      </c>
      <c r="T43" s="11">
        <v>495000</v>
      </c>
      <c r="U43" s="31" t="s">
        <v>22</v>
      </c>
    </row>
    <row r="44" spans="1:21" ht="25" customHeight="1" x14ac:dyDescent="0.35">
      <c r="A44" s="92"/>
      <c r="B44" s="97"/>
      <c r="C44" s="83"/>
      <c r="D44" s="100" t="s">
        <v>20</v>
      </c>
      <c r="E44" s="23">
        <v>45016</v>
      </c>
      <c r="F44" s="20">
        <v>35</v>
      </c>
      <c r="G44" s="11">
        <f>(3097314*20%)-G43</f>
        <v>309731.40000000002</v>
      </c>
      <c r="H44" s="11">
        <v>0</v>
      </c>
      <c r="I44" s="11">
        <f>ROUND(G44-H44,)</f>
        <v>309731</v>
      </c>
      <c r="J44" s="11">
        <f>ROUND(I44*$J$7,0)</f>
        <v>55752</v>
      </c>
      <c r="K44" s="11">
        <f>I44+J44</f>
        <v>365483</v>
      </c>
      <c r="L44" s="11"/>
      <c r="M44" s="11"/>
      <c r="N44" s="11"/>
      <c r="O44" s="11"/>
      <c r="P44" s="11"/>
      <c r="Q44" s="12"/>
      <c r="R44" s="43"/>
      <c r="S44" s="9" t="s">
        <v>23</v>
      </c>
      <c r="T44" s="11">
        <v>99000</v>
      </c>
      <c r="U44" s="31" t="s">
        <v>24</v>
      </c>
    </row>
    <row r="45" spans="1:21" ht="25" customHeight="1" x14ac:dyDescent="0.35">
      <c r="A45" s="92"/>
      <c r="B45" s="97"/>
      <c r="C45" s="83"/>
      <c r="D45" s="100" t="s">
        <v>20</v>
      </c>
      <c r="E45" s="24">
        <v>45126</v>
      </c>
      <c r="F45" s="22">
        <v>31</v>
      </c>
      <c r="G45" s="22">
        <v>682500</v>
      </c>
      <c r="H45" s="22">
        <f>433586.02+10120-63037</f>
        <v>380669.02</v>
      </c>
      <c r="I45" s="22">
        <f>ROUND(G45-H45,)</f>
        <v>301831</v>
      </c>
      <c r="J45" s="22">
        <f>ROUND(I45*$J$7,0)</f>
        <v>54330</v>
      </c>
      <c r="K45" s="22">
        <f>I45+J45</f>
        <v>356161</v>
      </c>
      <c r="L45" s="22">
        <f>ROUND(I45*$L$7,)</f>
        <v>3018</v>
      </c>
      <c r="M45" s="22">
        <f>ROUND(I45*$M$7,)</f>
        <v>15092</v>
      </c>
      <c r="N45" s="22">
        <f>ROUND(I45*$N$7,)</f>
        <v>0</v>
      </c>
      <c r="O45" s="22">
        <f>ROUND(I45*$O$7,)</f>
        <v>30183</v>
      </c>
      <c r="P45" s="22">
        <f>J45</f>
        <v>54330</v>
      </c>
      <c r="Q45" s="41">
        <f>ROUND(K45-SUM(L45:P45),0)</f>
        <v>253538</v>
      </c>
      <c r="R45" s="10"/>
      <c r="S45" s="9" t="s">
        <v>25</v>
      </c>
      <c r="T45" s="11">
        <v>99000</v>
      </c>
      <c r="U45" s="31" t="s">
        <v>26</v>
      </c>
    </row>
    <row r="46" spans="1:21" ht="25" customHeight="1" x14ac:dyDescent="0.35">
      <c r="A46" s="92"/>
      <c r="B46" s="97"/>
      <c r="C46" s="83"/>
      <c r="D46" s="100" t="s">
        <v>29</v>
      </c>
      <c r="E46" s="24"/>
      <c r="F46" s="22">
        <v>27</v>
      </c>
      <c r="G46" s="22">
        <v>14084</v>
      </c>
      <c r="H46" s="22"/>
      <c r="I46" s="22"/>
      <c r="J46" s="22"/>
      <c r="K46" s="22"/>
      <c r="L46" s="22"/>
      <c r="M46" s="22"/>
      <c r="N46" s="22"/>
      <c r="O46" s="22"/>
      <c r="P46" s="22"/>
      <c r="Q46" s="41">
        <v>14084</v>
      </c>
      <c r="R46" s="10"/>
      <c r="S46" s="9" t="s">
        <v>117</v>
      </c>
      <c r="T46" s="11">
        <v>198000</v>
      </c>
      <c r="U46" s="12" t="s">
        <v>118</v>
      </c>
    </row>
    <row r="47" spans="1:21" ht="25" customHeight="1" x14ac:dyDescent="0.35">
      <c r="A47" s="93" t="s">
        <v>124</v>
      </c>
      <c r="B47" s="98">
        <v>3097314</v>
      </c>
      <c r="C47" s="83"/>
      <c r="D47" s="100" t="s">
        <v>29</v>
      </c>
      <c r="E47" s="24"/>
      <c r="F47" s="22">
        <v>35</v>
      </c>
      <c r="G47" s="22">
        <v>55752</v>
      </c>
      <c r="H47" s="22"/>
      <c r="I47" s="22"/>
      <c r="J47" s="22"/>
      <c r="K47" s="22"/>
      <c r="L47" s="22"/>
      <c r="M47" s="22"/>
      <c r="N47" s="22"/>
      <c r="O47" s="22"/>
      <c r="P47" s="22"/>
      <c r="Q47" s="41">
        <v>55752</v>
      </c>
      <c r="R47" s="10"/>
      <c r="S47" s="9"/>
      <c r="T47" s="11"/>
      <c r="U47" s="12"/>
    </row>
    <row r="48" spans="1:21" ht="25" customHeight="1" x14ac:dyDescent="0.35">
      <c r="A48" s="93" t="s">
        <v>125</v>
      </c>
      <c r="B48" s="98">
        <v>3412500</v>
      </c>
      <c r="C48" s="83"/>
      <c r="D48" s="100"/>
      <c r="E48" s="24"/>
      <c r="F48" s="22"/>
      <c r="G48" s="65">
        <f>B48*20%</f>
        <v>682500</v>
      </c>
      <c r="H48" s="65">
        <f>SUM(H43:H44)+10120</f>
        <v>241609.49</v>
      </c>
      <c r="I48" s="65">
        <f>G48-H48</f>
        <v>440890.51</v>
      </c>
      <c r="J48" s="65">
        <f>I48*$J$7</f>
        <v>79360.291799999992</v>
      </c>
      <c r="K48" s="65">
        <f>I48+J48</f>
        <v>520250.80180000002</v>
      </c>
      <c r="L48" s="65">
        <f>I48*$L$7</f>
        <v>4408.9050999999999</v>
      </c>
      <c r="M48" s="65">
        <f>I48*$M$7</f>
        <v>22044.525500000003</v>
      </c>
      <c r="N48" s="65">
        <f>I48*$N$7</f>
        <v>0</v>
      </c>
      <c r="O48" s="65">
        <f>I48*$O$7</f>
        <v>44089.051000000007</v>
      </c>
      <c r="P48" s="65">
        <f>I48*$P$7</f>
        <v>79360.291799999992</v>
      </c>
      <c r="Q48" s="66">
        <f>K48-L48-M48-N48-O48-P48</f>
        <v>370348.02840000007</v>
      </c>
      <c r="R48" s="10"/>
      <c r="S48" s="9"/>
      <c r="T48" s="11"/>
      <c r="U48" s="12"/>
    </row>
    <row r="49" spans="1:21" ht="25" customHeight="1" x14ac:dyDescent="0.35">
      <c r="A49" s="109"/>
      <c r="B49" s="110"/>
      <c r="C49" s="85"/>
      <c r="D49" s="104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32"/>
      <c r="R49" s="21"/>
      <c r="S49" s="16"/>
      <c r="T49" s="19"/>
      <c r="U49" s="33"/>
    </row>
    <row r="50" spans="1:21" ht="25" customHeight="1" x14ac:dyDescent="0.35">
      <c r="A50" s="92"/>
      <c r="B50" s="97"/>
      <c r="C50" s="83">
        <v>52794</v>
      </c>
      <c r="D50" s="100" t="s">
        <v>62</v>
      </c>
      <c r="E50" s="23">
        <v>45268</v>
      </c>
      <c r="F50" s="20">
        <v>1</v>
      </c>
      <c r="G50" s="11">
        <f>4080000*20%</f>
        <v>816000</v>
      </c>
      <c r="H50" s="11">
        <f>213984+87745</f>
        <v>301729</v>
      </c>
      <c r="I50" s="11">
        <f>ROUND(G50-H50,)</f>
        <v>514271</v>
      </c>
      <c r="J50" s="11">
        <f>ROUND(I50*$J$7,0)</f>
        <v>92569</v>
      </c>
      <c r="K50" s="11">
        <f>I50+J50</f>
        <v>606840</v>
      </c>
      <c r="L50" s="11"/>
      <c r="M50" s="11"/>
      <c r="N50" s="11"/>
      <c r="O50" s="11"/>
      <c r="P50" s="11"/>
      <c r="Q50" s="12"/>
      <c r="R50" s="10">
        <v>52794</v>
      </c>
      <c r="S50" s="9" t="s">
        <v>64</v>
      </c>
      <c r="T50" s="11">
        <v>495000</v>
      </c>
      <c r="U50" s="39" t="s">
        <v>65</v>
      </c>
    </row>
    <row r="51" spans="1:21" ht="25" customHeight="1" x14ac:dyDescent="0.35">
      <c r="A51" s="92"/>
      <c r="B51" s="97"/>
      <c r="C51" s="83"/>
      <c r="D51" s="100" t="s">
        <v>63</v>
      </c>
      <c r="E51" s="23">
        <v>44958</v>
      </c>
      <c r="F51" s="20">
        <v>1</v>
      </c>
      <c r="G51" s="11">
        <v>92568.78</v>
      </c>
      <c r="H51" s="11"/>
      <c r="I51" s="11"/>
      <c r="J51" s="11"/>
      <c r="K51" s="11"/>
      <c r="L51" s="11"/>
      <c r="M51" s="11"/>
      <c r="N51" s="11"/>
      <c r="O51" s="11"/>
      <c r="P51" s="11"/>
      <c r="Q51" s="12">
        <f>G51</f>
        <v>92568.78</v>
      </c>
      <c r="R51" s="10"/>
      <c r="S51" s="9" t="s">
        <v>66</v>
      </c>
      <c r="T51" s="11">
        <v>29556</v>
      </c>
      <c r="U51" s="31" t="s">
        <v>67</v>
      </c>
    </row>
    <row r="52" spans="1:21" ht="25" customHeight="1" x14ac:dyDescent="0.35">
      <c r="A52" s="92"/>
      <c r="B52" s="97"/>
      <c r="C52" s="83"/>
      <c r="D52" s="100" t="s">
        <v>62</v>
      </c>
      <c r="E52" s="23">
        <v>45031</v>
      </c>
      <c r="F52" s="20">
        <v>10</v>
      </c>
      <c r="G52" s="11">
        <f>(4643324*20%)-G50</f>
        <v>112664.80000000005</v>
      </c>
      <c r="H52" s="11"/>
      <c r="I52" s="11">
        <f>ROUND(G52-H52,)</f>
        <v>112665</v>
      </c>
      <c r="J52" s="11">
        <f>ROUND(I52*$J$7,0)</f>
        <v>20280</v>
      </c>
      <c r="K52" s="11">
        <f>I52+J52</f>
        <v>132945</v>
      </c>
      <c r="L52" s="11"/>
      <c r="M52" s="11"/>
      <c r="N52" s="11"/>
      <c r="O52" s="11"/>
      <c r="P52" s="11"/>
      <c r="Q52" s="12"/>
      <c r="R52" s="10"/>
      <c r="S52" s="9"/>
      <c r="T52" s="11">
        <v>100000</v>
      </c>
      <c r="U52" s="31" t="s">
        <v>68</v>
      </c>
    </row>
    <row r="53" spans="1:21" ht="25" customHeight="1" x14ac:dyDescent="0.35">
      <c r="A53" s="92"/>
      <c r="B53" s="97"/>
      <c r="C53" s="83"/>
      <c r="D53" s="100"/>
      <c r="E53" s="23"/>
      <c r="F53" s="20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2"/>
      <c r="R53" s="10"/>
      <c r="S53" s="9" t="s">
        <v>111</v>
      </c>
      <c r="T53" s="11">
        <v>198000</v>
      </c>
      <c r="U53" s="12" t="s">
        <v>110</v>
      </c>
    </row>
    <row r="54" spans="1:21" ht="25" customHeight="1" x14ac:dyDescent="0.35">
      <c r="A54" s="92"/>
      <c r="B54" s="97"/>
      <c r="C54" s="83"/>
      <c r="D54" s="100"/>
      <c r="E54" s="23"/>
      <c r="F54" s="20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2"/>
      <c r="R54" s="10"/>
      <c r="S54" s="9"/>
      <c r="T54" s="11">
        <v>198000</v>
      </c>
      <c r="U54" s="12" t="s">
        <v>121</v>
      </c>
    </row>
    <row r="55" spans="1:21" ht="25" customHeight="1" x14ac:dyDescent="0.35">
      <c r="A55" s="93" t="s">
        <v>124</v>
      </c>
      <c r="B55" s="98">
        <v>4643324</v>
      </c>
      <c r="C55" s="83"/>
      <c r="D55" s="100"/>
      <c r="E55" s="23"/>
      <c r="F55" s="20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2"/>
      <c r="R55" s="10"/>
      <c r="S55" s="9"/>
      <c r="T55" s="11"/>
      <c r="U55" s="12"/>
    </row>
    <row r="56" spans="1:21" ht="25" customHeight="1" x14ac:dyDescent="0.35">
      <c r="A56" s="93" t="s">
        <v>125</v>
      </c>
      <c r="B56" s="98">
        <v>4840000</v>
      </c>
      <c r="C56" s="83"/>
      <c r="D56" s="100"/>
      <c r="E56" s="23"/>
      <c r="F56" s="20"/>
      <c r="G56" s="65">
        <f>B56*20%</f>
        <v>968000</v>
      </c>
      <c r="H56" s="65">
        <f>SUM(H50:H55)</f>
        <v>301729</v>
      </c>
      <c r="I56" s="65">
        <f>G56-H56</f>
        <v>666271</v>
      </c>
      <c r="J56" s="65">
        <f>I56*$J$7</f>
        <v>119928.78</v>
      </c>
      <c r="K56" s="65">
        <f>I56+J56</f>
        <v>786199.78</v>
      </c>
      <c r="L56" s="65">
        <f>I56*$L$7</f>
        <v>6662.71</v>
      </c>
      <c r="M56" s="65">
        <f>I56*$M$7</f>
        <v>33313.550000000003</v>
      </c>
      <c r="N56" s="65">
        <f>I56*$N$7</f>
        <v>0</v>
      </c>
      <c r="O56" s="65">
        <f>I56*$O$7</f>
        <v>66627.100000000006</v>
      </c>
      <c r="P56" s="65">
        <f>I56*$P$7</f>
        <v>119928.78</v>
      </c>
      <c r="Q56" s="66">
        <f>K56-L56-M56-N56-O56-P56</f>
        <v>559667.64</v>
      </c>
      <c r="R56" s="10"/>
      <c r="S56" s="9"/>
      <c r="T56" s="11"/>
      <c r="U56" s="12"/>
    </row>
    <row r="57" spans="1:21" ht="25" customHeight="1" x14ac:dyDescent="0.35">
      <c r="A57" s="109"/>
      <c r="B57" s="110"/>
      <c r="C57" s="85"/>
      <c r="D57" s="104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32"/>
      <c r="R57" s="21"/>
      <c r="S57" s="16"/>
      <c r="T57" s="19"/>
      <c r="U57" s="33"/>
    </row>
    <row r="58" spans="1:21" ht="25" customHeight="1" x14ac:dyDescent="0.35">
      <c r="A58" s="92"/>
      <c r="B58" s="97"/>
      <c r="C58" s="83">
        <v>53217</v>
      </c>
      <c r="D58" s="103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2"/>
      <c r="R58" s="10">
        <v>53217</v>
      </c>
      <c r="S58" s="9" t="s">
        <v>69</v>
      </c>
      <c r="T58" s="11">
        <v>495000</v>
      </c>
      <c r="U58" s="34" t="s">
        <v>70</v>
      </c>
    </row>
    <row r="59" spans="1:21" ht="25" customHeight="1" x14ac:dyDescent="0.35">
      <c r="A59" s="109"/>
      <c r="B59" s="110"/>
      <c r="C59" s="85"/>
      <c r="D59" s="104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32"/>
      <c r="R59" s="21"/>
      <c r="S59" s="16"/>
      <c r="T59" s="19"/>
      <c r="U59" s="33"/>
    </row>
    <row r="60" spans="1:21" ht="25" customHeight="1" x14ac:dyDescent="0.35">
      <c r="A60" s="92"/>
      <c r="B60" s="97"/>
      <c r="C60" s="83">
        <v>56007</v>
      </c>
      <c r="D60" s="100" t="s">
        <v>71</v>
      </c>
      <c r="E60" s="23">
        <v>45012</v>
      </c>
      <c r="F60" s="20">
        <v>28</v>
      </c>
      <c r="G60" s="11">
        <f>4251823*10%</f>
        <v>425182.30000000005</v>
      </c>
      <c r="H60" s="11">
        <v>168709.9</v>
      </c>
      <c r="I60" s="11">
        <f>ROUND(G60-H60,)</f>
        <v>256472</v>
      </c>
      <c r="J60" s="11">
        <f>ROUND(I60*$J$7,0)</f>
        <v>46165</v>
      </c>
      <c r="K60" s="11">
        <f>I60+J60</f>
        <v>302637</v>
      </c>
      <c r="L60" s="11"/>
      <c r="M60" s="11"/>
      <c r="N60" s="11"/>
      <c r="O60" s="11"/>
      <c r="P60" s="11"/>
      <c r="Q60" s="12"/>
      <c r="R60" s="10">
        <v>56007</v>
      </c>
      <c r="S60" s="9" t="s">
        <v>72</v>
      </c>
      <c r="T60" s="11">
        <v>215436</v>
      </c>
      <c r="U60" s="31" t="s">
        <v>73</v>
      </c>
    </row>
    <row r="61" spans="1:21" ht="25" customHeight="1" x14ac:dyDescent="0.35">
      <c r="A61" s="92"/>
      <c r="B61" s="97"/>
      <c r="C61" s="83"/>
      <c r="D61" s="100" t="s">
        <v>71</v>
      </c>
      <c r="E61" s="23">
        <v>45031</v>
      </c>
      <c r="F61" s="20">
        <v>11</v>
      </c>
      <c r="G61" s="11">
        <v>425182.3</v>
      </c>
      <c r="H61" s="11"/>
      <c r="I61" s="11">
        <f>ROUND(G61-H61,)</f>
        <v>425182</v>
      </c>
      <c r="J61" s="11">
        <f>ROUND(I61*$J$7,0)</f>
        <v>76533</v>
      </c>
      <c r="K61" s="11">
        <f>I61+J61</f>
        <v>501715</v>
      </c>
      <c r="L61" s="11"/>
      <c r="M61" s="11"/>
      <c r="N61" s="11"/>
      <c r="O61" s="11"/>
      <c r="P61" s="11"/>
      <c r="Q61" s="12"/>
      <c r="R61" s="10"/>
      <c r="S61" s="9" t="s">
        <v>74</v>
      </c>
      <c r="T61" s="11">
        <v>357153</v>
      </c>
      <c r="U61" s="31" t="s">
        <v>75</v>
      </c>
    </row>
    <row r="62" spans="1:21" ht="25" customHeight="1" x14ac:dyDescent="0.35">
      <c r="A62" s="92"/>
      <c r="B62" s="97"/>
      <c r="C62" s="83"/>
      <c r="D62" s="100" t="s">
        <v>29</v>
      </c>
      <c r="E62" s="23"/>
      <c r="F62" s="20">
        <v>28</v>
      </c>
      <c r="G62" s="11"/>
      <c r="H62" s="11">
        <v>46165</v>
      </c>
      <c r="I62" s="11">
        <v>0</v>
      </c>
      <c r="J62" s="11">
        <v>0</v>
      </c>
      <c r="K62" s="11">
        <v>0</v>
      </c>
      <c r="L62" s="11">
        <v>0</v>
      </c>
      <c r="M62" s="11">
        <v>0</v>
      </c>
      <c r="N62" s="11">
        <v>0</v>
      </c>
      <c r="O62" s="11">
        <v>0</v>
      </c>
      <c r="P62" s="11">
        <v>0</v>
      </c>
      <c r="Q62" s="12">
        <v>46165</v>
      </c>
      <c r="R62" s="10"/>
      <c r="S62" s="9" t="s">
        <v>108</v>
      </c>
      <c r="T62" s="11">
        <v>198000</v>
      </c>
      <c r="U62" s="12" t="s">
        <v>109</v>
      </c>
    </row>
    <row r="63" spans="1:21" ht="25" customHeight="1" x14ac:dyDescent="0.25">
      <c r="A63" s="92"/>
      <c r="B63" s="97"/>
      <c r="C63" s="83"/>
      <c r="D63" s="100"/>
      <c r="E63" s="23"/>
      <c r="F63" s="20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2"/>
      <c r="R63" s="10"/>
      <c r="S63" s="9" t="s">
        <v>134</v>
      </c>
      <c r="T63" s="11">
        <v>198000</v>
      </c>
      <c r="U63" s="113" t="s">
        <v>133</v>
      </c>
    </row>
    <row r="64" spans="1:21" ht="25" customHeight="1" x14ac:dyDescent="0.35">
      <c r="A64" s="93" t="s">
        <v>124</v>
      </c>
      <c r="B64" s="98">
        <v>4251823</v>
      </c>
      <c r="C64" s="83"/>
      <c r="D64" s="100"/>
      <c r="E64" s="23"/>
      <c r="F64" s="20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2"/>
      <c r="R64" s="10"/>
      <c r="S64" s="9"/>
      <c r="T64" s="11">
        <v>99001</v>
      </c>
      <c r="U64" s="31" t="s">
        <v>132</v>
      </c>
    </row>
    <row r="65" spans="1:21" ht="25" customHeight="1" x14ac:dyDescent="0.35">
      <c r="A65" s="93" t="s">
        <v>125</v>
      </c>
      <c r="B65" s="98">
        <v>4235000</v>
      </c>
      <c r="C65" s="83"/>
      <c r="D65" s="100"/>
      <c r="E65" s="23"/>
      <c r="F65" s="20"/>
      <c r="G65" s="65">
        <f>B65*20%</f>
        <v>847000</v>
      </c>
      <c r="H65" s="65">
        <f>SUM(H60:H64)</f>
        <v>214874.9</v>
      </c>
      <c r="I65" s="65">
        <f>G65-H65</f>
        <v>632125.1</v>
      </c>
      <c r="J65" s="65">
        <f>I65*$J$7</f>
        <v>113782.518</v>
      </c>
      <c r="K65" s="65">
        <f>I65+J65</f>
        <v>745907.61800000002</v>
      </c>
      <c r="L65" s="65">
        <f>I65*$L$7</f>
        <v>6321.2510000000002</v>
      </c>
      <c r="M65" s="65">
        <f>I65*$M$7</f>
        <v>31606.255000000001</v>
      </c>
      <c r="N65" s="65">
        <f>I65*$N$7</f>
        <v>0</v>
      </c>
      <c r="O65" s="65">
        <f>I65*$O$7</f>
        <v>63212.51</v>
      </c>
      <c r="P65" s="65">
        <f>I65*$P$7</f>
        <v>113782.518</v>
      </c>
      <c r="Q65" s="66">
        <f>K65-L65-M65-N65-O65-P65</f>
        <v>530985.08399999992</v>
      </c>
      <c r="R65" s="10"/>
      <c r="S65" s="9"/>
      <c r="T65" s="11"/>
      <c r="U65" s="31"/>
    </row>
    <row r="66" spans="1:21" ht="25" customHeight="1" x14ac:dyDescent="0.35">
      <c r="A66" s="109"/>
      <c r="B66" s="110"/>
      <c r="C66" s="85"/>
      <c r="D66" s="104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32"/>
      <c r="R66" s="21"/>
      <c r="S66" s="16"/>
      <c r="T66" s="19"/>
      <c r="U66" s="33"/>
    </row>
    <row r="67" spans="1:21" ht="25" customHeight="1" x14ac:dyDescent="0.35">
      <c r="A67" s="92"/>
      <c r="B67" s="97"/>
      <c r="C67" s="83">
        <v>52523</v>
      </c>
      <c r="D67" s="100" t="s">
        <v>76</v>
      </c>
      <c r="E67" s="23">
        <v>44904</v>
      </c>
      <c r="F67" s="20">
        <v>3</v>
      </c>
      <c r="G67" s="11">
        <f>3372500*20%</f>
        <v>674500</v>
      </c>
      <c r="H67" s="11">
        <v>223474</v>
      </c>
      <c r="I67" s="11">
        <f>ROUND(G67-H67,)</f>
        <v>451026</v>
      </c>
      <c r="J67" s="11">
        <f>ROUND(I67*$J$7,0)</f>
        <v>81185</v>
      </c>
      <c r="K67" s="11">
        <f>I67+J67</f>
        <v>532211</v>
      </c>
      <c r="L67" s="11"/>
      <c r="M67" s="11"/>
      <c r="N67" s="11"/>
      <c r="O67" s="11"/>
      <c r="P67" s="11"/>
      <c r="Q67" s="12"/>
      <c r="R67" s="10">
        <v>52523</v>
      </c>
      <c r="S67" s="9" t="s">
        <v>78</v>
      </c>
      <c r="T67" s="11">
        <v>297000</v>
      </c>
      <c r="U67" s="31" t="s">
        <v>79</v>
      </c>
    </row>
    <row r="68" spans="1:21" ht="25" customHeight="1" x14ac:dyDescent="0.35">
      <c r="A68" s="92"/>
      <c r="B68" s="97"/>
      <c r="C68" s="83"/>
      <c r="D68" s="100" t="s">
        <v>76</v>
      </c>
      <c r="E68" s="23">
        <v>45031</v>
      </c>
      <c r="F68" s="20">
        <v>8</v>
      </c>
      <c r="G68" s="11">
        <f>(3748120*20%)-G67</f>
        <v>75124</v>
      </c>
      <c r="H68" s="11">
        <v>0</v>
      </c>
      <c r="I68" s="11">
        <f>ROUND(G68-H68,)</f>
        <v>75124</v>
      </c>
      <c r="J68" s="11">
        <f>ROUND(I68*$J$7,0)</f>
        <v>13522</v>
      </c>
      <c r="K68" s="11">
        <f>I68+J68</f>
        <v>88646</v>
      </c>
      <c r="L68" s="11"/>
      <c r="M68" s="11"/>
      <c r="N68" s="11"/>
      <c r="O68" s="11"/>
      <c r="P68" s="11"/>
      <c r="Q68" s="12"/>
      <c r="R68" s="10"/>
      <c r="S68" s="9" t="s">
        <v>80</v>
      </c>
      <c r="T68" s="11">
        <v>198000</v>
      </c>
      <c r="U68" s="31" t="s">
        <v>81</v>
      </c>
    </row>
    <row r="69" spans="1:21" ht="25" customHeight="1" x14ac:dyDescent="0.35">
      <c r="A69" s="92"/>
      <c r="B69" s="97"/>
      <c r="C69" s="83"/>
      <c r="D69" s="100" t="s">
        <v>77</v>
      </c>
      <c r="E69" s="23">
        <v>44958</v>
      </c>
      <c r="F69" s="20">
        <v>3</v>
      </c>
      <c r="G69" s="11">
        <v>81185</v>
      </c>
      <c r="H69" s="11"/>
      <c r="I69" s="11"/>
      <c r="J69" s="11"/>
      <c r="K69" s="11"/>
      <c r="L69" s="11"/>
      <c r="M69" s="11"/>
      <c r="N69" s="11"/>
      <c r="O69" s="11"/>
      <c r="P69" s="11"/>
      <c r="Q69" s="12">
        <f>G69</f>
        <v>81185</v>
      </c>
      <c r="R69" s="10"/>
      <c r="S69" s="9"/>
      <c r="T69" s="11">
        <v>198000</v>
      </c>
      <c r="U69" s="12" t="s">
        <v>107</v>
      </c>
    </row>
    <row r="70" spans="1:21" ht="25" customHeight="1" x14ac:dyDescent="0.35">
      <c r="A70" s="92"/>
      <c r="B70" s="97"/>
      <c r="C70" s="83"/>
      <c r="D70" s="100"/>
      <c r="E70" s="23"/>
      <c r="F70" s="20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2"/>
      <c r="R70" s="10"/>
      <c r="S70" s="9" t="s">
        <v>106</v>
      </c>
      <c r="T70" s="11">
        <v>99000</v>
      </c>
      <c r="U70" s="12" t="s">
        <v>119</v>
      </c>
    </row>
    <row r="71" spans="1:21" ht="25" customHeight="1" x14ac:dyDescent="0.25">
      <c r="A71" s="92"/>
      <c r="B71" s="97"/>
      <c r="C71" s="83"/>
      <c r="D71" s="100"/>
      <c r="E71" s="23"/>
      <c r="F71" s="20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2"/>
      <c r="R71" s="10"/>
      <c r="S71" s="9" t="s">
        <v>137</v>
      </c>
      <c r="T71" s="11">
        <v>99000</v>
      </c>
      <c r="U71" s="113" t="s">
        <v>136</v>
      </c>
    </row>
    <row r="72" spans="1:21" ht="25" customHeight="1" x14ac:dyDescent="0.35">
      <c r="A72" s="92"/>
      <c r="B72" s="97"/>
      <c r="C72" s="83"/>
      <c r="D72" s="100"/>
      <c r="E72" s="23"/>
      <c r="F72" s="20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2"/>
      <c r="R72" s="10"/>
      <c r="S72" s="9"/>
      <c r="T72" s="11">
        <v>198001</v>
      </c>
      <c r="U72" s="31" t="s">
        <v>135</v>
      </c>
    </row>
    <row r="73" spans="1:21" ht="25" customHeight="1" x14ac:dyDescent="0.35">
      <c r="A73" s="93" t="s">
        <v>124</v>
      </c>
      <c r="B73" s="98">
        <v>3748120</v>
      </c>
      <c r="C73" s="83"/>
      <c r="D73" s="100"/>
      <c r="E73" s="23"/>
      <c r="F73" s="20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2"/>
      <c r="R73" s="10"/>
      <c r="S73" s="9"/>
      <c r="T73" s="11"/>
      <c r="U73" s="31"/>
    </row>
    <row r="74" spans="1:21" ht="25" customHeight="1" x14ac:dyDescent="0.35">
      <c r="A74" s="93" t="s">
        <v>125</v>
      </c>
      <c r="B74" s="98">
        <v>3981250</v>
      </c>
      <c r="C74" s="83"/>
      <c r="D74" s="100"/>
      <c r="E74" s="23"/>
      <c r="F74" s="20"/>
      <c r="G74" s="65">
        <f>B74*20%</f>
        <v>796250</v>
      </c>
      <c r="H74" s="65">
        <f>SUM(H67:H73)</f>
        <v>223474</v>
      </c>
      <c r="I74" s="65">
        <f>G74-H74</f>
        <v>572776</v>
      </c>
      <c r="J74" s="65">
        <f>I74*$J$7</f>
        <v>103099.68</v>
      </c>
      <c r="K74" s="65">
        <f>I74+J74</f>
        <v>675875.67999999993</v>
      </c>
      <c r="L74" s="65">
        <f>I74*$L$7</f>
        <v>5727.76</v>
      </c>
      <c r="M74" s="65">
        <f>I74*$M$7</f>
        <v>28638.800000000003</v>
      </c>
      <c r="N74" s="65">
        <f>I74*$N$7</f>
        <v>0</v>
      </c>
      <c r="O74" s="65">
        <f>I74*$O$7</f>
        <v>57277.600000000006</v>
      </c>
      <c r="P74" s="65">
        <f>I74*$P$7</f>
        <v>103099.68</v>
      </c>
      <c r="Q74" s="66">
        <f>K74-L74-M74-N74-O74-P74</f>
        <v>481131.83999999991</v>
      </c>
      <c r="R74" s="10"/>
      <c r="S74" s="9"/>
      <c r="T74" s="11"/>
      <c r="U74" s="31"/>
    </row>
    <row r="75" spans="1:21" ht="25" customHeight="1" x14ac:dyDescent="0.35">
      <c r="A75" s="109"/>
      <c r="B75" s="110"/>
      <c r="C75" s="85"/>
      <c r="D75" s="104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32"/>
      <c r="R75" s="21"/>
      <c r="S75" s="16"/>
      <c r="T75" s="19"/>
      <c r="U75" s="33"/>
    </row>
    <row r="76" spans="1:21" ht="25" customHeight="1" x14ac:dyDescent="0.35">
      <c r="A76" s="92"/>
      <c r="B76" s="97"/>
      <c r="C76" s="83">
        <v>52403</v>
      </c>
      <c r="D76" s="100" t="s">
        <v>82</v>
      </c>
      <c r="E76" s="23">
        <v>44955</v>
      </c>
      <c r="F76" s="20">
        <v>10</v>
      </c>
      <c r="G76" s="11">
        <f>2722000*40%</f>
        <v>1088800</v>
      </c>
      <c r="H76" s="11">
        <v>424799</v>
      </c>
      <c r="I76" s="11">
        <f>ROUND(G76-H76,)</f>
        <v>664001</v>
      </c>
      <c r="J76" s="11">
        <f>ROUND(I76*$J$7,0)</f>
        <v>119520</v>
      </c>
      <c r="K76" s="11">
        <f>I76+J76</f>
        <v>783521</v>
      </c>
      <c r="L76" s="11"/>
      <c r="M76" s="11"/>
      <c r="N76" s="11"/>
      <c r="O76" s="11"/>
      <c r="P76" s="11"/>
      <c r="Q76" s="12"/>
      <c r="R76" s="10">
        <v>52403</v>
      </c>
      <c r="S76" s="9" t="s">
        <v>83</v>
      </c>
      <c r="T76" s="11">
        <v>297000</v>
      </c>
      <c r="U76" s="31" t="s">
        <v>84</v>
      </c>
    </row>
    <row r="77" spans="1:21" ht="25" customHeight="1" x14ac:dyDescent="0.35">
      <c r="A77" s="92"/>
      <c r="B77" s="97"/>
      <c r="C77" s="83"/>
      <c r="D77" s="100" t="s">
        <v>77</v>
      </c>
      <c r="E77" s="23"/>
      <c r="F77" s="20"/>
      <c r="G77" s="11">
        <v>119520</v>
      </c>
      <c r="H77" s="11"/>
      <c r="I77" s="11"/>
      <c r="J77" s="11"/>
      <c r="K77" s="11"/>
      <c r="L77" s="11"/>
      <c r="M77" s="11"/>
      <c r="N77" s="11"/>
      <c r="O77" s="11"/>
      <c r="P77" s="11"/>
      <c r="Q77" s="12">
        <v>119520</v>
      </c>
      <c r="R77" s="10"/>
      <c r="S77" s="9" t="s">
        <v>85</v>
      </c>
      <c r="T77" s="11">
        <v>297000</v>
      </c>
      <c r="U77" s="31" t="s">
        <v>86</v>
      </c>
    </row>
    <row r="78" spans="1:21" ht="25" customHeight="1" x14ac:dyDescent="0.35">
      <c r="A78" s="92"/>
      <c r="B78" s="97"/>
      <c r="C78" s="83"/>
      <c r="D78" s="100" t="s">
        <v>82</v>
      </c>
      <c r="E78" s="23">
        <v>45031</v>
      </c>
      <c r="F78" s="20">
        <v>3</v>
      </c>
      <c r="G78" s="11">
        <f>(3097314*40%)-G76</f>
        <v>150125.60000000009</v>
      </c>
      <c r="H78" s="11">
        <v>0</v>
      </c>
      <c r="I78" s="11">
        <f>ROUND(G78-H78,)</f>
        <v>150126</v>
      </c>
      <c r="J78" s="11">
        <f>ROUND(I78*$J$7,0)</f>
        <v>27023</v>
      </c>
      <c r="K78" s="11">
        <f>I78+J78</f>
        <v>177149</v>
      </c>
      <c r="L78" s="11"/>
      <c r="M78" s="11"/>
      <c r="N78" s="11"/>
      <c r="O78" s="11"/>
      <c r="P78" s="11"/>
      <c r="Q78" s="12"/>
      <c r="R78" s="10"/>
      <c r="S78" s="9" t="s">
        <v>87</v>
      </c>
      <c r="T78" s="11">
        <v>148500</v>
      </c>
      <c r="U78" s="31" t="s">
        <v>88</v>
      </c>
    </row>
    <row r="79" spans="1:21" ht="25" customHeight="1" x14ac:dyDescent="0.35">
      <c r="A79" s="92"/>
      <c r="B79" s="97"/>
      <c r="C79" s="83"/>
      <c r="D79" s="100"/>
      <c r="E79" s="23"/>
      <c r="F79" s="20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2"/>
      <c r="R79" s="10"/>
      <c r="S79" s="9"/>
      <c r="T79" s="11">
        <v>50000</v>
      </c>
      <c r="U79" s="31" t="s">
        <v>89</v>
      </c>
    </row>
    <row r="80" spans="1:21" ht="25" customHeight="1" x14ac:dyDescent="0.25">
      <c r="A80" s="93" t="s">
        <v>124</v>
      </c>
      <c r="B80" s="98">
        <v>3097314</v>
      </c>
      <c r="C80" s="83"/>
      <c r="D80" s="100"/>
      <c r="E80" s="23"/>
      <c r="F80" s="20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2"/>
      <c r="R80" s="10"/>
      <c r="S80" s="9" t="s">
        <v>139</v>
      </c>
      <c r="T80" s="11">
        <v>198000</v>
      </c>
      <c r="U80" s="113" t="s">
        <v>138</v>
      </c>
    </row>
    <row r="81" spans="1:21" ht="25" customHeight="1" x14ac:dyDescent="0.35">
      <c r="A81" s="93" t="s">
        <v>125</v>
      </c>
      <c r="B81" s="98">
        <v>3412500</v>
      </c>
      <c r="C81" s="83"/>
      <c r="D81" s="100"/>
      <c r="E81" s="23"/>
      <c r="F81" s="20"/>
      <c r="G81" s="65">
        <f>B81*40%</f>
        <v>1365000</v>
      </c>
      <c r="H81" s="65">
        <f>SUM(H76:H80)</f>
        <v>424799</v>
      </c>
      <c r="I81" s="65">
        <f>G81-H81</f>
        <v>940201</v>
      </c>
      <c r="J81" s="65">
        <f>I81*$J$7</f>
        <v>169236.18</v>
      </c>
      <c r="K81" s="65">
        <f>I81+J81</f>
        <v>1109437.18</v>
      </c>
      <c r="L81" s="65">
        <f>I81*$L$7</f>
        <v>9402.01</v>
      </c>
      <c r="M81" s="65">
        <f>I81*$M$7</f>
        <v>47010.05</v>
      </c>
      <c r="N81" s="65">
        <f>I81*$N$7</f>
        <v>0</v>
      </c>
      <c r="O81" s="65">
        <f>I81*$O$7</f>
        <v>94020.1</v>
      </c>
      <c r="P81" s="65">
        <f>I81*$P$7</f>
        <v>169236.18</v>
      </c>
      <c r="Q81" s="66">
        <f>K81-L81-M81-N81-O81-P81</f>
        <v>789768.83999999985</v>
      </c>
      <c r="R81" s="10"/>
      <c r="S81" s="9"/>
      <c r="T81" s="11"/>
      <c r="U81" s="31"/>
    </row>
    <row r="82" spans="1:21" ht="25" customHeight="1" x14ac:dyDescent="0.35">
      <c r="A82" s="109"/>
      <c r="B82" s="110"/>
      <c r="C82" s="85"/>
      <c r="D82" s="104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32"/>
      <c r="R82" s="21"/>
      <c r="S82" s="16"/>
      <c r="T82" s="19"/>
      <c r="U82" s="33"/>
    </row>
    <row r="83" spans="1:21" ht="25" customHeight="1" x14ac:dyDescent="0.35">
      <c r="A83" s="92"/>
      <c r="B83" s="97"/>
      <c r="C83" s="83">
        <v>52402</v>
      </c>
      <c r="D83" s="100" t="s">
        <v>90</v>
      </c>
      <c r="E83" s="23">
        <v>45279</v>
      </c>
      <c r="F83" s="20">
        <v>4</v>
      </c>
      <c r="G83" s="11">
        <f>2300000*40%</f>
        <v>920000</v>
      </c>
      <c r="H83" s="11">
        <f>122843+214154</f>
        <v>336997</v>
      </c>
      <c r="I83" s="11">
        <f>ROUND(G83-H83,)</f>
        <v>583003</v>
      </c>
      <c r="J83" s="11">
        <f>ROUND(I83*$J$7,0)</f>
        <v>104941</v>
      </c>
      <c r="K83" s="11">
        <f>I83+J83</f>
        <v>687944</v>
      </c>
      <c r="L83" s="11"/>
      <c r="M83" s="11"/>
      <c r="N83" s="11"/>
      <c r="O83" s="11"/>
      <c r="P83" s="11"/>
      <c r="Q83" s="12"/>
      <c r="R83" s="10">
        <v>52402</v>
      </c>
      <c r="S83" s="9" t="s">
        <v>91</v>
      </c>
      <c r="T83" s="11">
        <v>297000</v>
      </c>
      <c r="U83" s="39" t="s">
        <v>92</v>
      </c>
    </row>
    <row r="84" spans="1:21" ht="25" customHeight="1" x14ac:dyDescent="0.35">
      <c r="A84" s="92"/>
      <c r="B84" s="97"/>
      <c r="C84" s="83"/>
      <c r="D84" s="100" t="s">
        <v>29</v>
      </c>
      <c r="E84" s="23">
        <v>44958</v>
      </c>
      <c r="F84" s="20">
        <v>4</v>
      </c>
      <c r="G84" s="11">
        <f>J83</f>
        <v>104941</v>
      </c>
      <c r="H84" s="11"/>
      <c r="I84" s="11">
        <f t="shared" ref="I84" si="6">ROUND(G84-H84,)</f>
        <v>104941</v>
      </c>
      <c r="J84" s="11"/>
      <c r="K84" s="11">
        <f t="shared" ref="K84" si="7">I84+J84</f>
        <v>104941</v>
      </c>
      <c r="L84" s="11"/>
      <c r="M84" s="11"/>
      <c r="N84" s="11"/>
      <c r="O84" s="11"/>
      <c r="P84" s="11"/>
      <c r="Q84" s="12">
        <f t="shared" ref="Q84" si="8">ROUND(K84-SUM(L84:P84),0)</f>
        <v>104941</v>
      </c>
      <c r="R84" s="10"/>
      <c r="S84" s="9" t="s">
        <v>93</v>
      </c>
      <c r="T84" s="11">
        <v>297000</v>
      </c>
      <c r="U84" s="31" t="s">
        <v>94</v>
      </c>
    </row>
    <row r="85" spans="1:21" ht="25" customHeight="1" x14ac:dyDescent="0.35">
      <c r="A85" s="92"/>
      <c r="B85" s="97"/>
      <c r="C85" s="83"/>
      <c r="D85" s="100" t="s">
        <v>90</v>
      </c>
      <c r="E85" s="23">
        <v>45031</v>
      </c>
      <c r="F85" s="20">
        <v>7</v>
      </c>
      <c r="G85" s="11">
        <f>(2579480*40%)-G83</f>
        <v>111792</v>
      </c>
      <c r="H85" s="11">
        <v>0</v>
      </c>
      <c r="I85" s="11">
        <f>ROUND(G85-H85,)</f>
        <v>111792</v>
      </c>
      <c r="J85" s="11">
        <f>ROUND(I85*$J$7,0)</f>
        <v>20123</v>
      </c>
      <c r="K85" s="11">
        <f>I85+J85</f>
        <v>131915</v>
      </c>
      <c r="L85" s="11"/>
      <c r="M85" s="11"/>
      <c r="N85" s="11"/>
      <c r="O85" s="11"/>
      <c r="P85" s="11"/>
      <c r="Q85" s="12"/>
      <c r="R85" s="10"/>
      <c r="S85" s="9"/>
      <c r="T85" s="11">
        <v>99000</v>
      </c>
      <c r="U85" s="31" t="s">
        <v>95</v>
      </c>
    </row>
    <row r="86" spans="1:21" ht="25" customHeight="1" x14ac:dyDescent="0.35">
      <c r="A86" s="92"/>
      <c r="B86" s="97"/>
      <c r="C86" s="83"/>
      <c r="D86" s="100"/>
      <c r="E86" s="23"/>
      <c r="F86" s="20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2"/>
      <c r="R86" s="10"/>
      <c r="S86" s="9" t="s">
        <v>104</v>
      </c>
      <c r="T86" s="11">
        <v>198000</v>
      </c>
      <c r="U86" s="12" t="s">
        <v>105</v>
      </c>
    </row>
    <row r="87" spans="1:21" ht="25" customHeight="1" x14ac:dyDescent="0.35">
      <c r="A87" s="93" t="s">
        <v>124</v>
      </c>
      <c r="B87" s="98">
        <v>2579480</v>
      </c>
      <c r="C87" s="83"/>
      <c r="D87" s="100"/>
      <c r="E87" s="23"/>
      <c r="F87" s="20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2"/>
      <c r="R87" s="10"/>
      <c r="S87" s="9"/>
      <c r="T87" s="11"/>
      <c r="U87" s="12"/>
    </row>
    <row r="88" spans="1:21" ht="25" customHeight="1" x14ac:dyDescent="0.35">
      <c r="A88" s="93" t="s">
        <v>125</v>
      </c>
      <c r="B88" s="98">
        <v>2850000</v>
      </c>
      <c r="C88" s="83"/>
      <c r="D88" s="100"/>
      <c r="E88" s="23"/>
      <c r="F88" s="20"/>
      <c r="G88" s="65">
        <f>B88*40%</f>
        <v>1140000</v>
      </c>
      <c r="H88" s="65">
        <f>SUM(H83:H87)</f>
        <v>336997</v>
      </c>
      <c r="I88" s="65">
        <f>G88-H88</f>
        <v>803003</v>
      </c>
      <c r="J88" s="65">
        <f>I88*$J$7</f>
        <v>144540.54</v>
      </c>
      <c r="K88" s="65">
        <f>I88+J88</f>
        <v>947543.54</v>
      </c>
      <c r="L88" s="65">
        <f>I88*$L$7</f>
        <v>8030.03</v>
      </c>
      <c r="M88" s="65">
        <f>I88*$M$7</f>
        <v>40150.15</v>
      </c>
      <c r="N88" s="65">
        <f>I88*$N$7</f>
        <v>0</v>
      </c>
      <c r="O88" s="65">
        <f>I88*$O$7</f>
        <v>80300.3</v>
      </c>
      <c r="P88" s="65">
        <f>I88*$P$7</f>
        <v>144540.54</v>
      </c>
      <c r="Q88" s="66">
        <f>K88-L88-M88-N88-O88-P88</f>
        <v>674522.5199999999</v>
      </c>
      <c r="R88" s="10"/>
      <c r="S88" s="9"/>
      <c r="T88" s="11"/>
      <c r="U88" s="12"/>
    </row>
    <row r="89" spans="1:21" ht="25" customHeight="1" x14ac:dyDescent="0.35">
      <c r="A89" s="109"/>
      <c r="B89" s="110"/>
      <c r="C89" s="85"/>
      <c r="D89" s="104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32"/>
      <c r="R89" s="21"/>
      <c r="S89" s="16"/>
      <c r="T89" s="19"/>
      <c r="U89" s="33"/>
    </row>
    <row r="90" spans="1:21" ht="25" customHeight="1" x14ac:dyDescent="0.35">
      <c r="A90" s="92"/>
      <c r="B90" s="97"/>
      <c r="C90" s="83">
        <v>51990</v>
      </c>
      <c r="D90" s="100" t="s">
        <v>96</v>
      </c>
      <c r="E90" s="23">
        <v>44970</v>
      </c>
      <c r="F90" s="20">
        <v>11</v>
      </c>
      <c r="G90" s="11">
        <v>1336500</v>
      </c>
      <c r="H90" s="11">
        <v>881692.7</v>
      </c>
      <c r="I90" s="11">
        <f>ROUND(G90-H90,)</f>
        <v>454807</v>
      </c>
      <c r="J90" s="11">
        <f>ROUND(I90*$J$7,0)</f>
        <v>81865</v>
      </c>
      <c r="K90" s="11">
        <f>I90+J90</f>
        <v>536672</v>
      </c>
      <c r="L90" s="11"/>
      <c r="M90" s="11"/>
      <c r="N90" s="11"/>
      <c r="O90" s="11"/>
      <c r="P90" s="11"/>
      <c r="Q90" s="12"/>
      <c r="R90" s="10">
        <v>51990</v>
      </c>
      <c r="S90" s="9" t="s">
        <v>98</v>
      </c>
      <c r="T90" s="11">
        <v>396000</v>
      </c>
      <c r="U90" s="31" t="s">
        <v>99</v>
      </c>
    </row>
    <row r="91" spans="1:21" ht="25" customHeight="1" x14ac:dyDescent="0.35">
      <c r="A91" s="92"/>
      <c r="B91" s="97"/>
      <c r="C91" s="83"/>
      <c r="D91" s="100" t="s">
        <v>96</v>
      </c>
      <c r="E91" s="23">
        <v>45031</v>
      </c>
      <c r="F91" s="20">
        <v>2</v>
      </c>
      <c r="G91" s="11">
        <f>(2655000*55%)-G90</f>
        <v>123750.00000000023</v>
      </c>
      <c r="H91" s="11">
        <v>0</v>
      </c>
      <c r="I91" s="11">
        <f>ROUND(G91-H91,)</f>
        <v>123750</v>
      </c>
      <c r="J91" s="11">
        <f>ROUND(I91*$J$7,0)</f>
        <v>22275</v>
      </c>
      <c r="K91" s="11">
        <f>I91+J91</f>
        <v>146025</v>
      </c>
      <c r="L91" s="11"/>
      <c r="M91" s="11"/>
      <c r="N91" s="11"/>
      <c r="O91" s="11"/>
      <c r="P91" s="11"/>
      <c r="Q91" s="12"/>
      <c r="R91" s="44"/>
      <c r="S91" s="9" t="s">
        <v>100</v>
      </c>
      <c r="T91" s="11">
        <v>594000</v>
      </c>
      <c r="U91" s="31" t="s">
        <v>101</v>
      </c>
    </row>
    <row r="92" spans="1:21" ht="25" customHeight="1" x14ac:dyDescent="0.35">
      <c r="A92" s="92"/>
      <c r="B92" s="97"/>
      <c r="C92" s="83"/>
      <c r="D92" s="100" t="s">
        <v>97</v>
      </c>
      <c r="E92" s="23">
        <v>45002</v>
      </c>
      <c r="F92" s="20">
        <v>11</v>
      </c>
      <c r="G92" s="11">
        <v>81865</v>
      </c>
      <c r="H92" s="11"/>
      <c r="I92" s="11"/>
      <c r="J92" s="11"/>
      <c r="K92" s="11"/>
      <c r="L92" s="11"/>
      <c r="M92" s="11"/>
      <c r="N92" s="11"/>
      <c r="O92" s="11"/>
      <c r="P92" s="11"/>
      <c r="Q92" s="12">
        <f>G92</f>
        <v>81865</v>
      </c>
      <c r="R92" s="44"/>
      <c r="S92" s="9" t="s">
        <v>102</v>
      </c>
      <c r="T92" s="11">
        <v>198000</v>
      </c>
      <c r="U92" s="12" t="s">
        <v>103</v>
      </c>
    </row>
    <row r="93" spans="1:21" ht="25" customHeight="1" x14ac:dyDescent="0.35">
      <c r="A93" s="92"/>
      <c r="B93" s="97"/>
      <c r="C93" s="86"/>
      <c r="D93" s="105"/>
      <c r="E93" s="67"/>
      <c r="F93" s="68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5"/>
      <c r="R93" s="60"/>
      <c r="S93" s="49"/>
      <c r="T93" s="50"/>
      <c r="U93" s="55"/>
    </row>
    <row r="94" spans="1:21" ht="25" customHeight="1" x14ac:dyDescent="0.35">
      <c r="A94" s="93" t="s">
        <v>124</v>
      </c>
      <c r="B94" s="98">
        <v>2655000</v>
      </c>
      <c r="C94" s="86"/>
      <c r="D94" s="105"/>
      <c r="E94" s="67"/>
      <c r="F94" s="68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5"/>
      <c r="R94" s="60"/>
      <c r="S94" s="49"/>
      <c r="T94" s="50"/>
      <c r="U94" s="55"/>
    </row>
    <row r="95" spans="1:21" ht="25" customHeight="1" thickBot="1" x14ac:dyDescent="0.4">
      <c r="A95" s="111" t="s">
        <v>125</v>
      </c>
      <c r="B95" s="112">
        <v>2950000</v>
      </c>
      <c r="C95" s="86"/>
      <c r="D95" s="106"/>
      <c r="E95" s="50"/>
      <c r="F95" s="50"/>
      <c r="G95" s="65">
        <f>B95*55%</f>
        <v>1622500.0000000002</v>
      </c>
      <c r="H95" s="65">
        <f>SUM(H90:H94)</f>
        <v>881692.7</v>
      </c>
      <c r="I95" s="65">
        <f>G95-H95</f>
        <v>740807.30000000028</v>
      </c>
      <c r="J95" s="65">
        <f>I95*$J$7</f>
        <v>133345.31400000004</v>
      </c>
      <c r="K95" s="65">
        <f>I95+J95</f>
        <v>874152.61400000029</v>
      </c>
      <c r="L95" s="65">
        <f>I95*$L$7</f>
        <v>7408.073000000003</v>
      </c>
      <c r="M95" s="65">
        <f>I95*$M$7</f>
        <v>37040.365000000013</v>
      </c>
      <c r="N95" s="65">
        <f>I95*$N$7</f>
        <v>0</v>
      </c>
      <c r="O95" s="65">
        <f>I95*$O$7</f>
        <v>74080.730000000025</v>
      </c>
      <c r="P95" s="65">
        <f>I95*$P$7</f>
        <v>133345.31400000004</v>
      </c>
      <c r="Q95" s="66">
        <f>K95-L95-M95-N95-O95-P95</f>
        <v>622278.13200000033</v>
      </c>
      <c r="R95" s="60"/>
      <c r="S95" s="49"/>
      <c r="T95" s="50"/>
      <c r="U95" s="51"/>
    </row>
    <row r="96" spans="1:21" ht="25" customHeight="1" x14ac:dyDescent="0.35">
      <c r="A96" s="91"/>
      <c r="B96" s="96"/>
      <c r="C96" s="87"/>
      <c r="D96" s="107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312" t="s">
        <v>27</v>
      </c>
      <c r="P96" s="312"/>
      <c r="Q96" s="57">
        <f>SUM(Q8:Q95)</f>
        <v>8773756.8476</v>
      </c>
      <c r="R96" s="61"/>
      <c r="S96" s="52" t="s">
        <v>126</v>
      </c>
      <c r="T96" s="53">
        <v>12161403</v>
      </c>
      <c r="U96" s="54"/>
    </row>
    <row r="97" spans="1:21" ht="25" customHeight="1" thickBot="1" x14ac:dyDescent="0.4">
      <c r="A97" s="90"/>
      <c r="B97" s="95"/>
      <c r="C97" s="88"/>
      <c r="D97" s="108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5"/>
      <c r="R97" s="62"/>
      <c r="S97" s="58" t="s">
        <v>127</v>
      </c>
      <c r="T97" s="59">
        <f>Q96-T96</f>
        <v>-3387646.1524</v>
      </c>
      <c r="U97" s="15"/>
    </row>
    <row r="98" spans="1:21" ht="25" customHeight="1" x14ac:dyDescent="0.35">
      <c r="M98" s="69">
        <f>SUM(M8:M95)</f>
        <v>455077.86949999997</v>
      </c>
      <c r="N98" s="69">
        <f t="shared" ref="N98:O98" si="9">SUM(N8:N95)</f>
        <v>0</v>
      </c>
      <c r="O98" s="69">
        <f t="shared" si="9"/>
        <v>910154.73899999994</v>
      </c>
    </row>
    <row r="99" spans="1:21" ht="25" customHeight="1" x14ac:dyDescent="0.35">
      <c r="P99" s="5"/>
      <c r="Q99" s="5"/>
    </row>
    <row r="101" spans="1:21" ht="25" customHeight="1" x14ac:dyDescent="0.35">
      <c r="Q101" s="5"/>
    </row>
    <row r="103" spans="1:21" ht="25" customHeight="1" x14ac:dyDescent="0.35">
      <c r="Q103" s="17"/>
    </row>
  </sheetData>
  <mergeCells count="5">
    <mergeCell ref="O96:P96"/>
    <mergeCell ref="B1:C1"/>
    <mergeCell ref="B2:C2"/>
    <mergeCell ref="B3:C3"/>
    <mergeCell ref="B4:D4"/>
  </mergeCells>
  <pageMargins left="0.7" right="0.7" top="0.75" bottom="0.75" header="0.3" footer="0.3"/>
  <pageSetup paperSize="9" scale="25" orientation="landscape" r:id="rId1"/>
  <rowBreaks count="1" manualBreakCount="1">
    <brk id="10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combined</vt:lpstr>
      <vt:lpstr>New rate</vt:lpstr>
      <vt:lpstr>combined!Print_Area</vt:lpstr>
      <vt:lpstr>combined!Print_Titles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2025-08-18T08:11:42Z</dcterms:modified>
</cp:coreProperties>
</file>