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Shahin (1)\Shahin\"/>
    </mc:Choice>
  </mc:AlternateContent>
  <xr:revisionPtr revIDLastSave="0" documentId="13_ncr:1_{BFE6213E-8B2F-412D-AA63-2949B37D30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2" l="1"/>
  <c r="K26" i="2" s="1"/>
  <c r="Q24" i="2"/>
  <c r="Q23" i="2"/>
  <c r="E22" i="2"/>
  <c r="G22" i="2" s="1"/>
  <c r="N21" i="2"/>
  <c r="H21" i="2"/>
  <c r="O21" i="2" s="1"/>
  <c r="G21" i="2"/>
  <c r="J21" i="2" s="1"/>
  <c r="I20" i="2"/>
  <c r="Q20" i="2" s="1"/>
  <c r="H20" i="2"/>
  <c r="G20" i="2"/>
  <c r="J20" i="2" s="1"/>
  <c r="Q19" i="2"/>
  <c r="J18" i="2"/>
  <c r="G18" i="2"/>
  <c r="N18" i="2" s="1"/>
  <c r="Q17" i="2"/>
  <c r="N16" i="2"/>
  <c r="H16" i="2"/>
  <c r="O16" i="2" s="1"/>
  <c r="G16" i="2"/>
  <c r="J16" i="2" s="1"/>
  <c r="G10" i="2"/>
  <c r="K10" i="2" s="1"/>
  <c r="T6" i="2"/>
  <c r="T2" i="2"/>
  <c r="G63" i="1"/>
  <c r="K63" i="1" s="1"/>
  <c r="G12" i="1"/>
  <c r="N22" i="2" l="1"/>
  <c r="H22" i="2"/>
  <c r="I22" i="2" s="1"/>
  <c r="Q22" i="2" s="1"/>
  <c r="K22" i="2"/>
  <c r="J22" i="2"/>
  <c r="H10" i="2"/>
  <c r="N10" i="2"/>
  <c r="K16" i="2"/>
  <c r="K21" i="2"/>
  <c r="H26" i="2"/>
  <c r="O26" i="2" s="1"/>
  <c r="N26" i="2"/>
  <c r="I26" i="2"/>
  <c r="Q26" i="2" s="1"/>
  <c r="T26" i="2" s="1"/>
  <c r="J10" i="2"/>
  <c r="I16" i="2"/>
  <c r="K18" i="2"/>
  <c r="I21" i="2"/>
  <c r="Q21" i="2" s="1"/>
  <c r="J26" i="2"/>
  <c r="H18" i="2"/>
  <c r="L63" i="1"/>
  <c r="L66" i="1" s="1"/>
  <c r="M63" i="1"/>
  <c r="M66" i="1" s="1"/>
  <c r="H63" i="1"/>
  <c r="I63" i="1" s="1"/>
  <c r="J63" i="1"/>
  <c r="K12" i="1"/>
  <c r="J12" i="1"/>
  <c r="H12" i="1"/>
  <c r="O12" i="1" s="1"/>
  <c r="E13" i="1" s="1"/>
  <c r="Q13" i="1" s="1"/>
  <c r="O18" i="2" l="1"/>
  <c r="I18" i="2"/>
  <c r="Q18" i="2" s="1"/>
  <c r="I10" i="2"/>
  <c r="O10" i="2"/>
  <c r="T21" i="2"/>
  <c r="Q16" i="2"/>
  <c r="T16" i="2" s="1"/>
  <c r="O63" i="1"/>
  <c r="Q63" i="1"/>
  <c r="I12" i="1"/>
  <c r="Q12" i="1" s="1"/>
  <c r="G22" i="1"/>
  <c r="J22" i="1" s="1"/>
  <c r="Q10" i="2" l="1"/>
  <c r="T10" i="2" s="1"/>
  <c r="N76" i="1"/>
  <c r="E64" i="1"/>
  <c r="Q64" i="1" s="1"/>
  <c r="T63" i="1" s="1"/>
  <c r="K22" i="1"/>
  <c r="H22" i="1"/>
  <c r="O22" i="1" s="1"/>
  <c r="G60" i="1"/>
  <c r="K60" i="1" s="1"/>
  <c r="E23" i="1" l="1"/>
  <c r="Q23" i="1" s="1"/>
  <c r="I22" i="1"/>
  <c r="Q22" i="1" s="1"/>
  <c r="H60" i="1"/>
  <c r="O60" i="1" s="1"/>
  <c r="E61" i="1" s="1"/>
  <c r="Q61" i="1" s="1"/>
  <c r="J60" i="1"/>
  <c r="I60" i="1" l="1"/>
  <c r="Q60" i="1" s="1"/>
  <c r="T60" i="1" s="1"/>
  <c r="P66" i="1"/>
  <c r="G56" i="1"/>
  <c r="K56" i="1" s="1"/>
  <c r="G15" i="1"/>
  <c r="H15" i="1" s="1"/>
  <c r="N75" i="1" l="1"/>
  <c r="M75" i="1"/>
  <c r="H56" i="1"/>
  <c r="O56" i="1" s="1"/>
  <c r="E57" i="1" s="1"/>
  <c r="Q57" i="1" s="1"/>
  <c r="J56" i="1"/>
  <c r="J15" i="1"/>
  <c r="K15" i="1"/>
  <c r="O15" i="1"/>
  <c r="E16" i="1" s="1"/>
  <c r="Q16" i="1" s="1"/>
  <c r="I15" i="1"/>
  <c r="G52" i="1"/>
  <c r="I56" i="1" l="1"/>
  <c r="Q56" i="1" s="1"/>
  <c r="T56" i="1" s="1"/>
  <c r="Q15" i="1"/>
  <c r="T15" i="1" s="1"/>
  <c r="K52" i="1"/>
  <c r="J52" i="1"/>
  <c r="H52" i="1"/>
  <c r="O52" i="1" s="1"/>
  <c r="G31" i="1"/>
  <c r="R66" i="1"/>
  <c r="G47" i="1"/>
  <c r="G46" i="1"/>
  <c r="K46" i="1" s="1"/>
  <c r="G51" i="1"/>
  <c r="K51" i="1" s="1"/>
  <c r="G45" i="1"/>
  <c r="Q42" i="1"/>
  <c r="G41" i="1"/>
  <c r="K41" i="1" s="1"/>
  <c r="Q37" i="1"/>
  <c r="G36" i="1"/>
  <c r="H36" i="1" s="1"/>
  <c r="O36" i="1" s="1"/>
  <c r="E38" i="1" s="1"/>
  <c r="Q38" i="1" s="1"/>
  <c r="G35" i="1"/>
  <c r="J35" i="1" s="1"/>
  <c r="I52" i="1" l="1"/>
  <c r="Q52" i="1" s="1"/>
  <c r="K31" i="1"/>
  <c r="J31" i="1"/>
  <c r="H31" i="1"/>
  <c r="O31" i="1" s="1"/>
  <c r="E32" i="1" s="1"/>
  <c r="Q32" i="1" s="1"/>
  <c r="H46" i="1"/>
  <c r="O46" i="1" s="1"/>
  <c r="J47" i="1"/>
  <c r="K47" i="1"/>
  <c r="H47" i="1"/>
  <c r="O47" i="1" s="1"/>
  <c r="J46" i="1"/>
  <c r="H51" i="1"/>
  <c r="O51" i="1" s="1"/>
  <c r="E53" i="1" s="1"/>
  <c r="Q53" i="1" s="1"/>
  <c r="J51" i="1"/>
  <c r="J45" i="1"/>
  <c r="K45" i="1"/>
  <c r="H45" i="1"/>
  <c r="H41" i="1"/>
  <c r="O41" i="1" s="1"/>
  <c r="J41" i="1"/>
  <c r="K36" i="1"/>
  <c r="J36" i="1"/>
  <c r="I36" i="1"/>
  <c r="K35" i="1"/>
  <c r="H35" i="1"/>
  <c r="O35" i="1" s="1"/>
  <c r="Q11" i="1"/>
  <c r="Q9" i="1"/>
  <c r="Q30" i="1"/>
  <c r="G29" i="1"/>
  <c r="K29" i="1" s="1"/>
  <c r="I51" i="1" l="1"/>
  <c r="Q51" i="1" s="1"/>
  <c r="T51" i="1" s="1"/>
  <c r="E49" i="1"/>
  <c r="Q49" i="1" s="1"/>
  <c r="I31" i="1"/>
  <c r="Q31" i="1" s="1"/>
  <c r="O45" i="1"/>
  <c r="E48" i="1"/>
  <c r="Q48" i="1" s="1"/>
  <c r="I46" i="1"/>
  <c r="Q46" i="1" s="1"/>
  <c r="I47" i="1"/>
  <c r="Q47" i="1" s="1"/>
  <c r="I45" i="1"/>
  <c r="I41" i="1"/>
  <c r="Q41" i="1" s="1"/>
  <c r="T41" i="1" s="1"/>
  <c r="Q36" i="1"/>
  <c r="I35" i="1"/>
  <c r="Q35" i="1" s="1"/>
  <c r="H29" i="1"/>
  <c r="O29" i="1" s="1"/>
  <c r="J29" i="1"/>
  <c r="O21" i="1"/>
  <c r="N21" i="1"/>
  <c r="O20" i="1"/>
  <c r="N20" i="1"/>
  <c r="Q45" i="1" l="1"/>
  <c r="T45" i="1" s="1"/>
  <c r="T35" i="1"/>
  <c r="I29" i="1"/>
  <c r="Q29" i="1" s="1"/>
  <c r="T29" i="1" s="1"/>
  <c r="G27" i="1" l="1"/>
  <c r="N27" i="1" l="1"/>
  <c r="O27" i="1"/>
  <c r="E19" i="1"/>
  <c r="G19" i="1" s="1"/>
  <c r="H19" i="1" s="1"/>
  <c r="E21" i="1" s="1"/>
  <c r="G21" i="1" s="1"/>
  <c r="I21" i="1" s="1"/>
  <c r="Q21" i="1" s="1"/>
  <c r="G18" i="1"/>
  <c r="K18" i="1" l="1"/>
  <c r="N18" i="1" s="1"/>
  <c r="H18" i="1"/>
  <c r="E20" i="1" s="1"/>
  <c r="G20" i="1" s="1"/>
  <c r="I20" i="1" s="1"/>
  <c r="Q20" i="1" s="1"/>
  <c r="I27" i="1"/>
  <c r="Q27" i="1" s="1"/>
  <c r="J18" i="1"/>
  <c r="O19" i="1"/>
  <c r="K19" i="1"/>
  <c r="N19" i="1" s="1"/>
  <c r="J19" i="1"/>
  <c r="O18" i="1" l="1"/>
  <c r="I18" i="1"/>
  <c r="I19" i="1"/>
  <c r="Q19" i="1" s="1"/>
  <c r="Q18" i="1" l="1"/>
  <c r="T18" i="1" s="1"/>
  <c r="E26" i="1"/>
  <c r="G26" i="1" s="1"/>
  <c r="H26" i="1" s="1"/>
  <c r="K26" i="1" l="1"/>
  <c r="N26" i="1" s="1"/>
  <c r="J26" i="1"/>
  <c r="O26" i="1"/>
  <c r="E10" i="1"/>
  <c r="G10" i="1" s="1"/>
  <c r="N10" i="1" s="1"/>
  <c r="I26" i="1" l="1"/>
  <c r="Q26" i="1" s="1"/>
  <c r="T26" i="1" s="1"/>
  <c r="H10" i="1"/>
  <c r="O10" i="1" s="1"/>
  <c r="K10" i="1"/>
  <c r="J10" i="1"/>
  <c r="G8" i="1"/>
  <c r="N8" i="1" s="1"/>
  <c r="I10" i="1" l="1"/>
  <c r="Q10" i="1" s="1"/>
  <c r="H8" i="1"/>
  <c r="O8" i="1" s="1"/>
  <c r="J8" i="1"/>
  <c r="K8" i="1"/>
  <c r="I8" i="1" l="1"/>
  <c r="Q8" i="1" s="1"/>
  <c r="T8" i="1" s="1"/>
  <c r="N66" i="1" l="1"/>
  <c r="K66" i="1"/>
  <c r="O66" i="1"/>
  <c r="M76" i="1" s="1"/>
  <c r="M73" i="1" l="1"/>
  <c r="T66" i="1" l="1"/>
  <c r="Q66" i="1" l="1"/>
  <c r="R67" i="1" l="1"/>
  <c r="N74" i="1" l="1"/>
  <c r="M74" i="1"/>
</calcChain>
</file>

<file path=xl/sharedStrings.xml><?xml version="1.0" encoding="utf-8"?>
<sst xmlns="http://schemas.openxmlformats.org/spreadsheetml/2006/main" count="159" uniqueCount="123">
  <si>
    <t>Amount</t>
  </si>
  <si>
    <t>UTR</t>
  </si>
  <si>
    <t>Hold amount</t>
  </si>
  <si>
    <t>Painting &amp; Finishing (5%)</t>
  </si>
  <si>
    <t>15-06-2023 NEFT/AXISP00398841900/RIUP23/664/CHOUDHARY CONSTR 323047.00</t>
  </si>
  <si>
    <t>GST Release Note</t>
  </si>
  <si>
    <t>19-06-2023 NEFT/AXISP00399545677/RIUP23/721/CHOUDHARY CONSTR 72626.00</t>
  </si>
  <si>
    <t>20-06-2023 NEFT/AXISP00399675463/RIUP23/689/CHOUDHARY CONSTR 179686.00</t>
  </si>
  <si>
    <t>Mubarikpur Village Boundary wall work</t>
  </si>
  <si>
    <t>21-04-2023 NEFT/AXISP00383548030/SPUP23/0220/CHOUDHARY CONST 231725.00</t>
  </si>
  <si>
    <t>02-06-2023 NEFT/AXISP00395047112/RIUP23/475/CHOUDHARY CONSTR 46866.00</t>
  </si>
  <si>
    <t>Patni partapur Village Pump House work</t>
  </si>
  <si>
    <t>24-02-2023 NEFT/AXISP00365393657/RIUP22/2301/CHOUDHARY CONST 148500.00</t>
  </si>
  <si>
    <t>01-03-2023 NEFT/AXISP00367214838/RIUP22/2376/CHOUDHARY CONST 41373.00</t>
  </si>
  <si>
    <t>15-03-2023 NEFT/AXISP00371550762/RIUP22/2573/CHOUDHARY CONST 135636.00</t>
  </si>
  <si>
    <t>20-03-2023 NEFT/AXISP00372793134/RIUP22/2668/CHOUDHARY CONST 38401.00</t>
  </si>
  <si>
    <t>02-05-2023 NEFT/AXISP00386545791/SPUP23/0342/CHOUDHARY CONST 27432.00</t>
  </si>
  <si>
    <t>20-10-2022 NEFT/AXISP00330252335/RIUP22/1060/CHOUDHARY CONST 148500.00</t>
  </si>
  <si>
    <t>09-01-2023 NEFT/AXISP00353549289/RIUP22/1818/CHOUDHARY CONSTRUCTION CO 153241.00</t>
  </si>
  <si>
    <t>01-03-2023 NEFT/AXISP00367210626/RIUP22/2339/CHOUDHARY CONST 61026.00</t>
  </si>
  <si>
    <t>09-11-2022 NEFT/AXISP00335986784/RIUP22/1223/CHOUDHARY CONST 148500.00</t>
  </si>
  <si>
    <t>10-01-2023 NEFT/AXISP00353656953/RIUP22/1821/CHOUDHARY CONST 163427.00</t>
  </si>
  <si>
    <t>01-03-2023 NEFT/AXISP00367214839/RIUP22/2381/CHOUDHARY CONST 63086.00</t>
  </si>
  <si>
    <t>GST Release note</t>
  </si>
  <si>
    <t>31-08-2023 NEFT/AXISP00419716233/RIUP23/1804/CHOUDHARY CONSTRUC/PUNB0745400 41148.00</t>
  </si>
  <si>
    <t>KASERWAKALAN VILLAGE Pump House work</t>
  </si>
  <si>
    <t>Paotikalan Village Pump House work</t>
  </si>
  <si>
    <t>05-08-2023 NEFT/AXISP00412924936/RIUP23/1377/CHOUDHARY CONST 140882.00</t>
  </si>
  <si>
    <t>Choudhary Construction</t>
  </si>
  <si>
    <t>GST</t>
  </si>
  <si>
    <t>21-07-2023 NEFT/AXISP00408446748/RIUP23/1105/CHOUDHARY CONST 203454.00</t>
  </si>
  <si>
    <t>13-09-2023 NEFT/AXISP00424687452/RIUP23/1990/CHOUDHARY CONSTRUC/PUNB0745400 50862.00</t>
  </si>
  <si>
    <t>17-10-2023 NEFT/AXISP00435127456/RIUP23/2694/CHOUDHARY CONSTRUC/PUNB0745400 10287.00</t>
  </si>
  <si>
    <t>18-09-2023 NEFT/AXISP00425751833/RIUP23/2049/CHOUDHARY CONSTRUC/PUNB0745400 262929.00</t>
  </si>
  <si>
    <t>17-10-2023 NEFT/AXISP00435127457/RIUP23/2695/CHOUDHARYCONSTRUC/PUNB0745400 53177.00</t>
  </si>
  <si>
    <t>18-09-2023 NEFT/AXISP00425751843/RIUP23/2097/CHOUDHARY CONSTRUC/PUNB0745400 106622.00</t>
  </si>
  <si>
    <t>03-10-2023 NEFT/AXISP00429778561/RIUP23/2244/CHOUDHARY CONSTRUC/PUNB0745400 28493.00</t>
  </si>
  <si>
    <t>17-10-2023 NEFT/AXISP00435127458/RIUP23/2696/CHOUDHARY CONSTRUC/PUNB0745400 21564.00</t>
  </si>
  <si>
    <t>19-07-2023 NEFT/AXISP00408124081/RIUP23/1123/CHOUDHARY CONST ₹ 1,28,016.00</t>
  </si>
  <si>
    <t>21-07-2023 NEFT/AXISP00408446754/RIUP23/1153/CHOUDHARY CONST 36341.00</t>
  </si>
  <si>
    <t>31-08-2023 NEFT/AXISP00419716232/RIUP23/1803/CHOUDHARY CONSTRUC/PUNB0745400 27432.00</t>
  </si>
  <si>
    <t>17-07-2023 NEFT/AXISP00407488696/RIUP23/1109/CHOUDHARY CONST 105132.00</t>
  </si>
  <si>
    <t>31-08-2023 NEFT/AXISP00419716231/RIUP23/1802/CHOUDHARY CONSTRUC/PUNB0745400 21263.00</t>
  </si>
  <si>
    <t>Total Paid</t>
  </si>
  <si>
    <t>Balance Payable</t>
  </si>
  <si>
    <t>All work</t>
  </si>
  <si>
    <t>17-10-2023 NEFT/AXISP00435111138/RIUP23/2644/CHOUDHARY CONSTRUC/PUNB0745400 173900.00</t>
  </si>
  <si>
    <t>09-11-2023 NEFT/AXISP00442541864/RIUP23/3164/CHOUDHARY CONSTRUC/PUNB0745400 99000.00</t>
  </si>
  <si>
    <t>GST release</t>
  </si>
  <si>
    <t>17-10-2023 NEFT/AXISP00435111136/RIUP23/2642/CHOUDHARY CONSTRUC/PUNB0745400 173900.00</t>
  </si>
  <si>
    <t>09-11-2023 NEFT/AXISP00442779055/RIUP23/3195/CHOUDHARY CONSTRUC/PUNB0745400 99000.00</t>
  </si>
  <si>
    <t>17-10-2023 NEFT/AXISP00435111137/RIUP23/2643/CHOUDHARY CONSTRUC/PUNB0745400 264995.00</t>
  </si>
  <si>
    <t>18-11-2023 NEFT/AXISP00445057529/RIUP23/3303/CHOUDHARY CONSTRUC/PUNB0745400 50744.00</t>
  </si>
  <si>
    <t>09-01-2024 NEFT/AXISP00461001711/RIUP23/4141/CHOUDHARY CONSTRUC/PUNB0745400 132070.00</t>
  </si>
  <si>
    <t>22-12-2023 NEFT/AXISP00455046735/RIUP23/3833/CHOUDHARY CONSTRUC/PUNB0745400 28493.00</t>
  </si>
  <si>
    <t>15-12-2023 NEFT/AXISP00453272889/RIUP23/3730/CHOUDHARY CONSTRUC/PUNB0745400 148797.00</t>
  </si>
  <si>
    <t>22-12-2023 NEFT/AXISP00455046736/RIUP23/3832/CHOUDHARY CONSTRUC/PUNB0745400 24993.00</t>
  </si>
  <si>
    <t>30-11-2023 NEFT/AXISP00447586131/RIUP23/3333/CHOUDHARY CONSTRUC/PUNB0745400 31518.00</t>
  </si>
  <si>
    <t>18-11-2023 NEFT/AXISP00445057528/RIUP23/3302/CHOUDHARY CONSTRUC/PUNB0745400 33300.00</t>
  </si>
  <si>
    <t xml:space="preserve"> </t>
  </si>
  <si>
    <t>18-11-2023 NEFT/AXISP00445057527/RIUP23/3301/CHOUDHARY CONSTRUC/PUNB0745400 33300.00</t>
  </si>
  <si>
    <t>12-01-2024 NEFT/AXISP00462196166/RIUP23/4140/CHOUDHARY CONSTRUC/PUNB0745400 17174.00</t>
  </si>
  <si>
    <t xml:space="preserve">Total Hold </t>
  </si>
  <si>
    <t>Advance / Surplus</t>
  </si>
  <si>
    <t>18 &amp; 19</t>
  </si>
  <si>
    <t>18-01-2024 NEFT/AXISP00463439410/RIUP23/4261/CHOUDHARY CONSTRUC/PUNB0745400 145211.00</t>
  </si>
  <si>
    <t>20,21</t>
  </si>
  <si>
    <t>11-12-2023 NEFT/AXISP00451701536/RIUP23/3607/CHOUDHARY CONSTRUC/PUNB0745400 4230.00</t>
  </si>
  <si>
    <t>11-12-2023 NEFT/AXISP00451701535/RIUP23/3606/CHOUDHARY CONSTRUC/PUNB0745400 22090.00</t>
  </si>
  <si>
    <t>12-02-2024 NEFT/AXISP00470368418/RIUP23/4324/CHOUDHARY CONSTRUC/PUNB0745400 25290.00</t>
  </si>
  <si>
    <t>16-02-2024 NEFT/AXISP00472105173/RIUP23/4323/CHOUDHARY CONSTRUC/PUNB0745400 22246.00</t>
  </si>
  <si>
    <t>Hold By Sanjay Sir</t>
  </si>
  <si>
    <t>GST Remaining</t>
  </si>
  <si>
    <t>31-03-2024 NEFT/AXISP00486642310/RIUP23/5314/CHOUDHARY CONSTRUC/PUNB0745400 304418.00</t>
  </si>
  <si>
    <t>26-04-2024 NEFT/AXISP00494041794/RIUP24/0146/CHOUDHARY CONSTRUC/PUNB0745400 294652.00</t>
  </si>
  <si>
    <t>26-04-2024 NEFT/AXISP00494041796/RIUP24/0218/CHOUDHARY CONSTRUC/PUNB0745400 58293.00</t>
  </si>
  <si>
    <t>26-04-2024 NEFT/AXISP00494041789/RIUP24/004/CHOUDHARY CONSTRUC/PUNB0745400 52250.00</t>
  </si>
  <si>
    <t>05-07-2024 NEFT/AXISP00515770430/RIUP23/4623/CHOUDHARY CONSTRUC/PUNB0745400 127650.00</t>
  </si>
  <si>
    <t>05-07-2024 NEFT/AXISP00515770429/RIUP24/0572/CHOUDHARY CONSTRUC/PUNB0745400 56423.00</t>
  </si>
  <si>
    <t>Advance Village Wise</t>
  </si>
  <si>
    <t>21-09-2024 NEFT/AXISP00542907683/RIUP24/1474/CHOUDHARY CONSTRUC/PUNB0745400 17906.00</t>
  </si>
  <si>
    <t>Extra Hold</t>
  </si>
  <si>
    <t>01-10-2024 NEFT/AXISP00547368148/RIUP24/2045/CHOUDHARY CONSTRUC/PUNB0745400 99000.00</t>
  </si>
  <si>
    <t>14-11-2024 NEFT/AXISP00569462149/RIUP24/2081/CHOUDHARY CONSTRUC/PUNB0745400 3429.00</t>
  </si>
  <si>
    <t>10-01-2025 NEFT/AXISP00597065259/RIUP24/2886/CHOUDHARY CONSTRUC/PUNB0745400 24750.00</t>
  </si>
  <si>
    <t>10-01-2025 NEFT/AXISP00597065256/RIUP24/2666/CHOUDHARY CONSTRUC/PUNB0745400 35814.00</t>
  </si>
  <si>
    <t>10-01-2025 NEFT/AXISP00597065258/RIUP24/2885/CHOUDHARY CONSTRUC/PUNB0745400 6858.00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</si>
  <si>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</si>
  <si>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</si>
  <si>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</si>
  <si>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</si>
  <si>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</si>
  <si>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</si>
  <si>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</si>
  <si>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</si>
  <si>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</si>
  <si>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</si>
  <si>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</si>
  <si>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</si>
  <si>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</si>
  <si>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</si>
  <si>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</si>
  <si>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</si>
  <si>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</si>
  <si>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</si>
  <si>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</si>
  <si>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</si>
  <si>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</si>
  <si>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 xml:space="preserve">Hathchhoya village   Pump house work </t>
  </si>
  <si>
    <t xml:space="preserve">Patni pratappur village   Boundary wall  work  </t>
  </si>
  <si>
    <t xml:space="preserve">Akapur Fusgarah village   Pump house chamber work </t>
  </si>
  <si>
    <t xml:space="preserve">Akapur Fusgarah village  Pump house chamber work </t>
  </si>
  <si>
    <t>BW village   GH work</t>
  </si>
  <si>
    <t>Banjheri village   PH work</t>
  </si>
  <si>
    <t>Badhupura village   BW work</t>
  </si>
  <si>
    <t xml:space="preserve">Sakauti village Pump house chamber work </t>
  </si>
  <si>
    <t xml:space="preserve">Khorsama village Pump house chamber work </t>
  </si>
  <si>
    <t>Sheikpur Bamnoli Village  PH work</t>
  </si>
  <si>
    <t>Nau Nagla Chondhaheri village PH work</t>
  </si>
  <si>
    <t>Khera Bhau Simbalika Village PH work</t>
  </si>
  <si>
    <t xml:space="preserve">RATAUNDH  VILLAGE  PUMPHOUSE WORK </t>
  </si>
  <si>
    <t xml:space="preserve"> JAMALPUR VILLAGE PUMPHOUSE WORK</t>
  </si>
  <si>
    <t xml:space="preserve">KABEERPUR AHATMAL village RR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</si>
</sst>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7" formatCode="[$-409]d\-mmm\-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3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 wrapText="1"/>
    </xf>
    <xf numFmtId="164" fontId="3" fillId="2" borderId="0" xfId="1" applyNumberFormat="1" applyFont="1" applyFill="1" applyBorder="1" applyAlignment="1">
      <alignment vertical="top"/>
    </xf>
    <xf numFmtId="0" fontId="0" fillId="0" borderId="0" xfId="0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64" fontId="3" fillId="2" borderId="4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5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164" fontId="7" fillId="2" borderId="7" xfId="1" applyNumberFormat="1" applyFont="1" applyFill="1" applyBorder="1" applyAlignment="1">
      <alignment vertical="center"/>
    </xf>
    <xf numFmtId="0" fontId="6" fillId="3" borderId="9" xfId="0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0" fontId="3" fillId="3" borderId="9" xfId="1" applyNumberFormat="1" applyFont="1" applyFill="1" applyBorder="1" applyAlignment="1">
      <alignment horizontal="center" vertical="center"/>
    </xf>
    <xf numFmtId="0" fontId="0" fillId="3" borderId="9" xfId="0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3" fillId="2" borderId="7" xfId="1" applyNumberFormat="1" applyFont="1" applyFill="1" applyBorder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3" fillId="3" borderId="7" xfId="1" applyNumberFormat="1" applyFont="1" applyFill="1" applyBorder="1" applyAlignment="1">
      <alignment horizontal="center" vertical="center"/>
    </xf>
    <xf numFmtId="0" fontId="0" fillId="3" borderId="7" xfId="0" applyFill="1" applyBorder="1" applyAlignment="1">
      <alignment vertical="center"/>
    </xf>
    <xf numFmtId="164" fontId="0" fillId="2" borderId="7" xfId="0" applyNumberForma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3" fillId="2" borderId="7" xfId="0" quotePrefix="1" applyFont="1" applyFill="1" applyBorder="1" applyAlignment="1">
      <alignment horizontal="center" vertical="center"/>
    </xf>
    <xf numFmtId="164" fontId="0" fillId="3" borderId="7" xfId="0" applyNumberFormat="1" applyFill="1" applyBorder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164" fontId="3" fillId="2" borderId="10" xfId="1" applyNumberFormat="1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7" fillId="2" borderId="9" xfId="0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0" fontId="3" fillId="2" borderId="9" xfId="1" applyNumberFormat="1" applyFont="1" applyFill="1" applyBorder="1" applyAlignment="1">
      <alignment horizontal="center" vertical="center"/>
    </xf>
    <xf numFmtId="164" fontId="5" fillId="2" borderId="9" xfId="1" applyNumberFormat="1" applyFont="1" applyFill="1" applyBorder="1" applyAlignment="1">
      <alignment vertical="center"/>
    </xf>
    <xf numFmtId="0" fontId="6" fillId="0" borderId="7" xfId="0" applyFont="1" applyBorder="1" applyAlignment="1">
      <alignment vertical="center"/>
    </xf>
    <xf numFmtId="164" fontId="10" fillId="4" borderId="7" xfId="1" applyNumberFormat="1" applyFont="1" applyFill="1" applyBorder="1" applyAlignment="1">
      <alignment vertical="center"/>
    </xf>
    <xf numFmtId="164" fontId="10" fillId="4" borderId="7" xfId="0" applyNumberFormat="1" applyFont="1" applyFill="1" applyBorder="1" applyAlignment="1">
      <alignment horizontal="center" vertical="center" wrapText="1"/>
    </xf>
    <xf numFmtId="164" fontId="10" fillId="4" borderId="10" xfId="1" applyNumberFormat="1" applyFont="1" applyFill="1" applyBorder="1" applyAlignment="1">
      <alignment vertical="center"/>
    </xf>
    <xf numFmtId="164" fontId="7" fillId="2" borderId="11" xfId="1" applyNumberFormat="1" applyFont="1" applyFill="1" applyBorder="1" applyAlignment="1">
      <alignment horizontal="center" vertical="center"/>
    </xf>
    <xf numFmtId="164" fontId="7" fillId="2" borderId="7" xfId="1" applyNumberFormat="1" applyFont="1" applyFill="1" applyBorder="1" applyAlignment="1">
      <alignment horizontal="center" vertical="center"/>
    </xf>
    <xf numFmtId="164" fontId="7" fillId="2" borderId="8" xfId="1" applyNumberFormat="1" applyFont="1" applyFill="1" applyBorder="1" applyAlignment="1">
      <alignment horizontal="center" vertical="center"/>
    </xf>
    <xf numFmtId="43" fontId="0" fillId="2" borderId="7" xfId="1" applyFont="1" applyFill="1" applyBorder="1" applyAlignment="1">
      <alignment vertical="center"/>
    </xf>
    <xf numFmtId="0" fontId="6" fillId="0" borderId="0" xfId="0" applyFont="1"/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43" fontId="11" fillId="2" borderId="9" xfId="1" applyFont="1" applyFill="1" applyBorder="1" applyAlignment="1">
      <alignment horizontal="center" vertical="center"/>
    </xf>
    <xf numFmtId="43" fontId="6" fillId="2" borderId="9" xfId="1" applyFont="1" applyFill="1" applyBorder="1" applyAlignment="1">
      <alignment horizontal="center" vertical="center"/>
    </xf>
    <xf numFmtId="14" fontId="8" fillId="2" borderId="8" xfId="1" applyNumberFormat="1" applyFont="1" applyFill="1" applyBorder="1" applyAlignment="1">
      <alignment horizontal="center" vertical="center"/>
    </xf>
    <xf numFmtId="164" fontId="8" fillId="2" borderId="8" xfId="1" applyNumberFormat="1" applyFont="1" applyFill="1" applyBorder="1" applyAlignment="1">
      <alignment horizontal="center" vertical="center"/>
    </xf>
    <xf numFmtId="164" fontId="9" fillId="2" borderId="9" xfId="1" applyNumberFormat="1" applyFont="1" applyFill="1" applyBorder="1" applyAlignment="1">
      <alignment horizontal="center" vertical="center"/>
    </xf>
    <xf numFmtId="164" fontId="7" fillId="2" borderId="11" xfId="1" applyNumberFormat="1" applyFont="1" applyFill="1" applyBorder="1" applyAlignment="1">
      <alignment horizontal="center" vertical="center"/>
    </xf>
    <xf numFmtId="164" fontId="7" fillId="2" borderId="7" xfId="1" applyNumberFormat="1" applyFont="1" applyFill="1" applyBorder="1" applyAlignment="1">
      <alignment horizontal="center" vertical="center"/>
    </xf>
    <xf numFmtId="164" fontId="7" fillId="2" borderId="8" xfId="1" applyNumberFormat="1" applyFont="1" applyFill="1" applyBorder="1" applyAlignment="1">
      <alignment horizontal="center" vertical="center"/>
    </xf>
    <xf numFmtId="4" fontId="7" fillId="2" borderId="12" xfId="0" applyNumberFormat="1" applyFont="1" applyFill="1" applyBorder="1" applyAlignment="1">
      <alignment horizontal="center" vertical="center"/>
    </xf>
    <xf numFmtId="4" fontId="7" fillId="2" borderId="13" xfId="0" applyNumberFormat="1" applyFont="1" applyFill="1" applyBorder="1" applyAlignment="1">
      <alignment horizontal="center" vertical="center"/>
    </xf>
    <xf numFmtId="167" fontId="0" fillId="2" borderId="0" xfId="0" applyNumberFormat="1" applyFill="1" applyAlignment="1">
      <alignment vertical="center"/>
    </xf>
    <xf numFmtId="167" fontId="2" fillId="2" borderId="0" xfId="1" applyNumberFormat="1" applyFont="1" applyFill="1" applyBorder="1" applyAlignment="1">
      <alignment vertical="center"/>
    </xf>
    <xf numFmtId="167" fontId="3" fillId="2" borderId="0" xfId="0" applyNumberFormat="1" applyFont="1" applyFill="1" applyAlignment="1">
      <alignment vertical="center"/>
    </xf>
    <xf numFmtId="167" fontId="6" fillId="2" borderId="9" xfId="0" applyNumberFormat="1" applyFont="1" applyFill="1" applyBorder="1" applyAlignment="1">
      <alignment horizontal="center" vertical="center"/>
    </xf>
    <xf numFmtId="167" fontId="3" fillId="2" borderId="5" xfId="1" applyNumberFormat="1" applyFont="1" applyFill="1" applyBorder="1" applyAlignment="1">
      <alignment vertical="center"/>
    </xf>
    <xf numFmtId="167" fontId="3" fillId="3" borderId="7" xfId="1" applyNumberFormat="1" applyFont="1" applyFill="1" applyBorder="1" applyAlignment="1">
      <alignment vertical="center"/>
    </xf>
    <xf numFmtId="167" fontId="3" fillId="2" borderId="7" xfId="1" applyNumberFormat="1" applyFont="1" applyFill="1" applyBorder="1" applyAlignment="1">
      <alignment vertical="center"/>
    </xf>
    <xf numFmtId="167" fontId="3" fillId="2" borderId="7" xfId="0" applyNumberFormat="1" applyFont="1" applyFill="1" applyBorder="1" applyAlignment="1">
      <alignment horizontal="center" vertical="center"/>
    </xf>
    <xf numFmtId="167" fontId="3" fillId="3" borderId="9" xfId="1" applyNumberFormat="1" applyFont="1" applyFill="1" applyBorder="1" applyAlignment="1">
      <alignment vertical="center"/>
    </xf>
    <xf numFmtId="167" fontId="3" fillId="2" borderId="10" xfId="0" applyNumberFormat="1" applyFont="1" applyFill="1" applyBorder="1" applyAlignment="1">
      <alignment horizontal="center" vertical="center"/>
    </xf>
    <xf numFmtId="167" fontId="3" fillId="2" borderId="9" xfId="1" applyNumberFormat="1" applyFont="1" applyFill="1" applyBorder="1" applyAlignment="1">
      <alignment vertical="center"/>
    </xf>
    <xf numFmtId="167" fontId="3" fillId="2" borderId="8" xfId="1" applyNumberFormat="1" applyFont="1" applyFill="1" applyBorder="1" applyAlignment="1">
      <alignment vertical="center"/>
    </xf>
    <xf numFmtId="167" fontId="3" fillId="2" borderId="0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0"/>
  <sheetViews>
    <sheetView tabSelected="1" zoomScale="84" zoomScaleNormal="115" workbookViewId="0">
      <pane ySplit="5" topLeftCell="A28" activePane="bottomLeft" state="frozen"/>
      <selection pane="bottomLeft" activeCell="F4" sqref="F4"/>
    </sheetView>
  </sheetViews>
  <sheetFormatPr defaultColWidth="9" defaultRowHeight="29.25" customHeight="1" x14ac:dyDescent="0.3"/>
  <cols>
    <col min="1" max="1" width="13.6640625" style="1" customWidth="1"/>
    <col min="2" max="2" width="30" style="2" customWidth="1"/>
    <col min="3" max="3" width="25.21875" style="80" customWidth="1"/>
    <col min="4" max="4" width="11.5546875" style="22" bestFit="1" customWidth="1"/>
    <col min="5" max="5" width="13.33203125" style="2" bestFit="1" customWidth="1"/>
    <col min="6" max="7" width="13.33203125" style="2" customWidth="1"/>
    <col min="8" max="8" width="14.6640625" style="8" customWidth="1"/>
    <col min="9" max="9" width="12.88671875" style="8" bestFit="1" customWidth="1"/>
    <col min="10" max="10" width="13.44140625" style="2" customWidth="1"/>
    <col min="11" max="11" width="16.109375" style="2" bestFit="1" customWidth="1"/>
    <col min="12" max="13" width="16.109375" style="2" customWidth="1"/>
    <col min="14" max="14" width="16.109375" style="2" bestFit="1" customWidth="1"/>
    <col min="15" max="16" width="14.88671875" style="2" customWidth="1"/>
    <col min="17" max="17" width="17.44140625" style="2" customWidth="1"/>
    <col min="18" max="18" width="20" style="2" bestFit="1" customWidth="1"/>
    <col min="19" max="19" width="91.44140625" style="2" bestFit="1" customWidth="1"/>
    <col min="20" max="20" width="22" style="2" bestFit="1" customWidth="1"/>
    <col min="21" max="16384" width="9" style="2"/>
  </cols>
  <sheetData>
    <row r="1" spans="1:20" ht="29.25" customHeight="1" x14ac:dyDescent="0.3">
      <c r="A1" s="66" t="s">
        <v>89</v>
      </c>
      <c r="B1" s="1" t="s">
        <v>28</v>
      </c>
      <c r="E1" s="13"/>
      <c r="F1" s="13"/>
      <c r="G1" s="13"/>
      <c r="H1" s="3"/>
      <c r="I1" s="3"/>
    </row>
    <row r="2" spans="1:20" ht="29.25" customHeight="1" x14ac:dyDescent="0.3">
      <c r="A2" s="66" t="s">
        <v>90</v>
      </c>
      <c r="B2" s="4" t="s">
        <v>87</v>
      </c>
      <c r="C2" s="81"/>
      <c r="D2" s="23"/>
      <c r="H2" s="9" t="s">
        <v>45</v>
      </c>
      <c r="I2" s="10"/>
      <c r="J2" s="5"/>
      <c r="K2" s="5"/>
      <c r="L2" s="5"/>
      <c r="M2" s="5"/>
      <c r="N2" s="5"/>
      <c r="O2" s="5"/>
      <c r="P2" s="5"/>
      <c r="Q2" s="5"/>
    </row>
    <row r="3" spans="1:20" ht="29.25" customHeight="1" x14ac:dyDescent="0.3">
      <c r="A3" s="66" t="s">
        <v>91</v>
      </c>
      <c r="B3" s="4" t="s">
        <v>88</v>
      </c>
      <c r="C3" s="81"/>
      <c r="D3" s="23"/>
      <c r="H3" s="9"/>
      <c r="I3" s="10"/>
      <c r="J3" s="5"/>
      <c r="K3" s="5"/>
      <c r="L3" s="5"/>
      <c r="M3" s="5"/>
      <c r="N3" s="5"/>
      <c r="O3" s="5"/>
      <c r="P3" s="5"/>
      <c r="Q3" s="5"/>
    </row>
    <row r="4" spans="1:20" ht="29.25" customHeight="1" thickBot="1" x14ac:dyDescent="0.35">
      <c r="A4" s="66" t="s">
        <v>92</v>
      </c>
      <c r="B4" s="5" t="s">
        <v>88</v>
      </c>
      <c r="C4" s="82"/>
      <c r="D4" s="24"/>
      <c r="E4" s="5"/>
      <c r="F4" s="5"/>
      <c r="G4" s="5"/>
      <c r="H4" s="6"/>
      <c r="I4" s="6"/>
      <c r="J4" s="5"/>
      <c r="K4" s="5"/>
      <c r="L4" s="5"/>
      <c r="M4" s="5"/>
      <c r="N4" s="5"/>
      <c r="R4" s="7"/>
      <c r="S4" s="7"/>
      <c r="T4" s="7"/>
    </row>
    <row r="5" spans="1:20" ht="29.25" customHeight="1" x14ac:dyDescent="0.3">
      <c r="A5" s="67" t="s">
        <v>93</v>
      </c>
      <c r="B5" s="68" t="s">
        <v>94</v>
      </c>
      <c r="C5" s="83" t="s">
        <v>95</v>
      </c>
      <c r="D5" s="69" t="s">
        <v>96</v>
      </c>
      <c r="E5" s="68" t="s">
        <v>97</v>
      </c>
      <c r="F5" s="68" t="s">
        <v>98</v>
      </c>
      <c r="G5" s="69" t="s">
        <v>99</v>
      </c>
      <c r="H5" s="70" t="s">
        <v>100</v>
      </c>
      <c r="I5" s="71" t="s">
        <v>0</v>
      </c>
      <c r="J5" s="68" t="s">
        <v>101</v>
      </c>
      <c r="K5" s="68" t="s">
        <v>102</v>
      </c>
      <c r="L5" s="68" t="s">
        <v>103</v>
      </c>
      <c r="M5" s="68" t="s">
        <v>104</v>
      </c>
      <c r="N5" s="14" t="s">
        <v>3</v>
      </c>
      <c r="O5" s="14" t="s">
        <v>105</v>
      </c>
      <c r="P5" s="14" t="s">
        <v>2</v>
      </c>
      <c r="Q5" s="15" t="s">
        <v>106</v>
      </c>
      <c r="R5" s="20" t="s">
        <v>107</v>
      </c>
      <c r="S5" s="15" t="s">
        <v>1</v>
      </c>
      <c r="T5" s="20" t="s">
        <v>79</v>
      </c>
    </row>
    <row r="6" spans="1:20" ht="29.25" customHeight="1" thickBot="1" x14ac:dyDescent="0.35">
      <c r="A6" s="21"/>
      <c r="B6" s="17"/>
      <c r="C6" s="84"/>
      <c r="D6" s="25"/>
      <c r="E6" s="17"/>
      <c r="F6" s="17"/>
      <c r="G6" s="17"/>
      <c r="H6" s="17"/>
      <c r="I6" s="17"/>
      <c r="J6" s="19">
        <v>0.01</v>
      </c>
      <c r="K6" s="19">
        <v>0.05</v>
      </c>
      <c r="L6" s="19">
        <v>0.1</v>
      </c>
      <c r="M6" s="19">
        <v>0.1</v>
      </c>
      <c r="N6" s="19">
        <v>0.05</v>
      </c>
      <c r="O6" s="17"/>
      <c r="P6" s="17"/>
      <c r="Q6" s="18"/>
      <c r="R6" s="16"/>
      <c r="S6" s="18"/>
      <c r="T6" s="16"/>
    </row>
    <row r="7" spans="1:20" ht="29.25" customHeight="1" x14ac:dyDescent="0.3">
      <c r="A7" s="39"/>
      <c r="B7" s="40"/>
      <c r="C7" s="85"/>
      <c r="D7" s="41"/>
      <c r="E7" s="40"/>
      <c r="F7" s="40"/>
      <c r="G7" s="40"/>
      <c r="H7" s="40"/>
      <c r="I7" s="40"/>
      <c r="J7" s="40"/>
      <c r="K7" s="40"/>
      <c r="L7" s="40"/>
      <c r="M7" s="40"/>
      <c r="N7" s="42"/>
      <c r="O7" s="40"/>
      <c r="P7" s="40"/>
      <c r="Q7" s="40"/>
      <c r="R7" s="40"/>
      <c r="S7" s="42"/>
      <c r="T7" s="40"/>
    </row>
    <row r="8" spans="1:20" ht="29.25" customHeight="1" x14ac:dyDescent="0.3">
      <c r="A8" s="33">
        <v>58339</v>
      </c>
      <c r="B8" s="34" t="s">
        <v>110</v>
      </c>
      <c r="C8" s="87">
        <v>45114</v>
      </c>
      <c r="D8" s="35">
        <v>6</v>
      </c>
      <c r="E8" s="36">
        <v>228600</v>
      </c>
      <c r="F8" s="36">
        <v>0</v>
      </c>
      <c r="G8" s="36">
        <f>E8-F8</f>
        <v>228600</v>
      </c>
      <c r="H8" s="36">
        <f>ROUND(G8*18%,0)</f>
        <v>41148</v>
      </c>
      <c r="I8" s="36">
        <f>G8+H8</f>
        <v>269748</v>
      </c>
      <c r="J8" s="36">
        <f>ROUND(G8*$J$6,0)</f>
        <v>2286</v>
      </c>
      <c r="K8" s="36">
        <f>ROUND(G8*$K$6,0)</f>
        <v>11430</v>
      </c>
      <c r="L8" s="36"/>
      <c r="M8" s="36"/>
      <c r="N8" s="36">
        <f>ROUND(G8*N6,0)</f>
        <v>11430</v>
      </c>
      <c r="O8" s="59">
        <f>H8</f>
        <v>41148</v>
      </c>
      <c r="P8" s="44"/>
      <c r="Q8" s="36">
        <f>ROUND(I8-SUM(J8:P8),)</f>
        <v>203454</v>
      </c>
      <c r="R8" s="36">
        <v>203454</v>
      </c>
      <c r="S8" s="37" t="s">
        <v>30</v>
      </c>
      <c r="T8" s="36">
        <f>SUM(Q8:Q13)-SUM(R8:R13)</f>
        <v>1</v>
      </c>
    </row>
    <row r="9" spans="1:20" ht="29.25" customHeight="1" x14ac:dyDescent="0.3">
      <c r="A9" s="33">
        <v>58339</v>
      </c>
      <c r="B9" s="34" t="s">
        <v>23</v>
      </c>
      <c r="C9" s="87">
        <v>45132</v>
      </c>
      <c r="D9" s="35">
        <v>6</v>
      </c>
      <c r="E9" s="36">
        <v>41148</v>
      </c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60">
        <f>E9</f>
        <v>41148</v>
      </c>
      <c r="R9" s="36">
        <v>41148</v>
      </c>
      <c r="S9" s="37" t="s">
        <v>24</v>
      </c>
      <c r="T9" s="36"/>
    </row>
    <row r="10" spans="1:20" ht="29.25" customHeight="1" x14ac:dyDescent="0.3">
      <c r="A10" s="33">
        <v>58339</v>
      </c>
      <c r="B10" s="34" t="s">
        <v>111</v>
      </c>
      <c r="C10" s="87">
        <v>45176</v>
      </c>
      <c r="D10" s="35">
        <v>8</v>
      </c>
      <c r="E10" s="36">
        <f>381000*15%</f>
        <v>57150</v>
      </c>
      <c r="F10" s="36">
        <v>0</v>
      </c>
      <c r="G10" s="36">
        <f>E10-F10</f>
        <v>57150</v>
      </c>
      <c r="H10" s="36">
        <f>G10*18%</f>
        <v>10287</v>
      </c>
      <c r="I10" s="36">
        <f>G10+H10</f>
        <v>67437</v>
      </c>
      <c r="J10" s="36">
        <f>G10*$J$6</f>
        <v>571.5</v>
      </c>
      <c r="K10" s="36">
        <f>ROUND(G10*$K$6,0)</f>
        <v>2858</v>
      </c>
      <c r="L10" s="36"/>
      <c r="M10" s="36"/>
      <c r="N10" s="36">
        <f>G10*5%</f>
        <v>2857.5</v>
      </c>
      <c r="O10" s="59">
        <f>H10</f>
        <v>10287</v>
      </c>
      <c r="P10" s="36"/>
      <c r="Q10" s="36">
        <f>ROUND(I10-SUM(J10:P10),)</f>
        <v>50863</v>
      </c>
      <c r="R10" s="65">
        <v>50862</v>
      </c>
      <c r="S10" s="37" t="s">
        <v>31</v>
      </c>
      <c r="T10" s="44"/>
    </row>
    <row r="11" spans="1:20" ht="29.25" customHeight="1" x14ac:dyDescent="0.3">
      <c r="A11" s="33">
        <v>58339</v>
      </c>
      <c r="B11" s="34" t="s">
        <v>5</v>
      </c>
      <c r="C11" s="87">
        <v>45210</v>
      </c>
      <c r="D11" s="35">
        <v>8</v>
      </c>
      <c r="E11" s="36">
        <v>10287</v>
      </c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60">
        <f>E11</f>
        <v>10287</v>
      </c>
      <c r="R11" s="65">
        <v>10287</v>
      </c>
      <c r="S11" s="37" t="s">
        <v>32</v>
      </c>
      <c r="T11" s="44"/>
    </row>
    <row r="12" spans="1:20" ht="29.25" customHeight="1" x14ac:dyDescent="0.3">
      <c r="A12" s="33">
        <v>58339</v>
      </c>
      <c r="B12" s="34" t="s">
        <v>110</v>
      </c>
      <c r="C12" s="87">
        <v>45607</v>
      </c>
      <c r="D12" s="35">
        <v>4</v>
      </c>
      <c r="E12" s="36">
        <v>38100</v>
      </c>
      <c r="F12" s="36">
        <v>0</v>
      </c>
      <c r="G12" s="36">
        <f>E12-F12</f>
        <v>38100</v>
      </c>
      <c r="H12" s="36">
        <f>G12*18%</f>
        <v>6858</v>
      </c>
      <c r="I12" s="36">
        <f>G12+H12</f>
        <v>44958</v>
      </c>
      <c r="J12" s="36">
        <f>G12*$J$6</f>
        <v>381</v>
      </c>
      <c r="K12" s="36">
        <f>ROUND(G12*$K$6,0)</f>
        <v>1905</v>
      </c>
      <c r="L12" s="36"/>
      <c r="M12" s="36"/>
      <c r="N12" s="36">
        <v>0</v>
      </c>
      <c r="O12" s="59">
        <f>H12</f>
        <v>6858</v>
      </c>
      <c r="P12" s="36"/>
      <c r="Q12" s="36">
        <f>ROUND(I12-SUM(J12:P12),)</f>
        <v>35814</v>
      </c>
      <c r="R12" s="65">
        <v>35814</v>
      </c>
      <c r="S12" s="37" t="s">
        <v>85</v>
      </c>
      <c r="T12" s="44"/>
    </row>
    <row r="13" spans="1:20" ht="29.25" customHeight="1" x14ac:dyDescent="0.3">
      <c r="A13" s="33">
        <v>58339</v>
      </c>
      <c r="B13" s="34" t="s">
        <v>5</v>
      </c>
      <c r="C13" s="87"/>
      <c r="D13" s="35">
        <v>4</v>
      </c>
      <c r="E13" s="36">
        <f>O12</f>
        <v>6858</v>
      </c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60">
        <f>E13</f>
        <v>6858</v>
      </c>
      <c r="R13" s="65">
        <v>6858</v>
      </c>
      <c r="S13" s="37" t="s">
        <v>86</v>
      </c>
      <c r="T13" s="44"/>
    </row>
    <row r="14" spans="1:20" ht="29.25" customHeight="1" x14ac:dyDescent="0.3">
      <c r="A14" s="39">
        <v>58545</v>
      </c>
      <c r="B14" s="40"/>
      <c r="C14" s="85"/>
      <c r="D14" s="41"/>
      <c r="E14" s="40"/>
      <c r="F14" s="40"/>
      <c r="G14" s="40"/>
      <c r="H14" s="40"/>
      <c r="I14" s="40"/>
      <c r="J14" s="40"/>
      <c r="K14" s="40"/>
      <c r="L14" s="40"/>
      <c r="M14" s="40"/>
      <c r="N14" s="42"/>
      <c r="O14" s="40"/>
      <c r="P14" s="40"/>
      <c r="Q14" s="40"/>
      <c r="R14" s="40"/>
      <c r="S14" s="42"/>
      <c r="T14" s="40"/>
    </row>
    <row r="15" spans="1:20" ht="29.25" customHeight="1" x14ac:dyDescent="0.3">
      <c r="A15" s="39">
        <v>58545</v>
      </c>
      <c r="B15" s="34" t="s">
        <v>112</v>
      </c>
      <c r="C15" s="87">
        <v>45226</v>
      </c>
      <c r="D15" s="35">
        <v>14</v>
      </c>
      <c r="E15" s="36">
        <v>23500</v>
      </c>
      <c r="F15" s="36"/>
      <c r="G15" s="36">
        <f>E15-F15</f>
        <v>23500</v>
      </c>
      <c r="H15" s="36">
        <f>G15*18%</f>
        <v>4230</v>
      </c>
      <c r="I15" s="36">
        <f>G15+H15</f>
        <v>27730</v>
      </c>
      <c r="J15" s="36">
        <f>G15*$J$6</f>
        <v>235</v>
      </c>
      <c r="K15" s="36">
        <f>ROUND(G15*$K$6,0)</f>
        <v>1175</v>
      </c>
      <c r="L15" s="36"/>
      <c r="M15" s="36"/>
      <c r="N15" s="36"/>
      <c r="O15" s="59">
        <f>H15</f>
        <v>4230</v>
      </c>
      <c r="P15" s="36"/>
      <c r="Q15" s="36">
        <f>ROUND(I15-SUM(J15:P15),)</f>
        <v>22090</v>
      </c>
      <c r="R15" s="44">
        <v>4230</v>
      </c>
      <c r="S15" s="37" t="s">
        <v>67</v>
      </c>
      <c r="T15" s="44">
        <f>SUM(Q15:Q16)-SUM(R15:R16)</f>
        <v>0</v>
      </c>
    </row>
    <row r="16" spans="1:20" ht="29.25" customHeight="1" x14ac:dyDescent="0.3">
      <c r="A16" s="39">
        <v>58545</v>
      </c>
      <c r="B16" s="34" t="s">
        <v>23</v>
      </c>
      <c r="C16" s="87"/>
      <c r="D16" s="35">
        <v>14</v>
      </c>
      <c r="E16" s="36">
        <f>O15</f>
        <v>4230</v>
      </c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60">
        <f>E16</f>
        <v>4230</v>
      </c>
      <c r="R16" s="44">
        <v>22090</v>
      </c>
      <c r="S16" s="37" t="s">
        <v>68</v>
      </c>
      <c r="T16" s="44"/>
    </row>
    <row r="17" spans="1:20" ht="29.25" customHeight="1" x14ac:dyDescent="0.3">
      <c r="A17" s="39"/>
      <c r="B17" s="40"/>
      <c r="C17" s="85"/>
      <c r="D17" s="41"/>
      <c r="E17" s="40"/>
      <c r="F17" s="40"/>
      <c r="G17" s="40"/>
      <c r="H17" s="40"/>
      <c r="I17" s="40"/>
      <c r="J17" s="40"/>
      <c r="K17" s="40"/>
      <c r="L17" s="40"/>
      <c r="M17" s="40"/>
      <c r="N17" s="42"/>
      <c r="O17" s="40"/>
      <c r="P17" s="40"/>
      <c r="Q17" s="40"/>
      <c r="R17" s="40"/>
      <c r="S17" s="42"/>
      <c r="T17" s="40"/>
    </row>
    <row r="18" spans="1:20" ht="29.25" customHeight="1" x14ac:dyDescent="0.3">
      <c r="A18" s="33">
        <v>58696</v>
      </c>
      <c r="B18" s="34" t="s">
        <v>26</v>
      </c>
      <c r="C18" s="87">
        <v>45139</v>
      </c>
      <c r="D18" s="45">
        <v>7</v>
      </c>
      <c r="E18" s="36">
        <v>185000</v>
      </c>
      <c r="F18" s="36">
        <v>26705</v>
      </c>
      <c r="G18" s="36">
        <f>ROUND(E18-F18,0)</f>
        <v>158295</v>
      </c>
      <c r="H18" s="36">
        <f>G18*18%</f>
        <v>28493.1</v>
      </c>
      <c r="I18" s="36">
        <f>G18+H18</f>
        <v>186788.1</v>
      </c>
      <c r="J18" s="36">
        <f>G18*$J$6</f>
        <v>1582.95</v>
      </c>
      <c r="K18" s="36">
        <f>G18*$K$6</f>
        <v>7914.75</v>
      </c>
      <c r="L18" s="36"/>
      <c r="M18" s="36"/>
      <c r="N18" s="36">
        <f>K18</f>
        <v>7914.75</v>
      </c>
      <c r="O18" s="59">
        <f>H18</f>
        <v>28493.1</v>
      </c>
      <c r="P18" s="36"/>
      <c r="Q18" s="36">
        <f>ROUND(I18-SUM(J18:P18),0)</f>
        <v>140883</v>
      </c>
      <c r="R18" s="36">
        <v>140882</v>
      </c>
      <c r="S18" s="37" t="s">
        <v>27</v>
      </c>
      <c r="T18" s="36">
        <f>SUM(Q18:Q24)-SUM(R18:R24)</f>
        <v>56</v>
      </c>
    </row>
    <row r="19" spans="1:20" ht="29.25" customHeight="1" x14ac:dyDescent="0.3">
      <c r="A19" s="33">
        <v>58696</v>
      </c>
      <c r="B19" s="34" t="s">
        <v>26</v>
      </c>
      <c r="C19" s="87">
        <v>45176</v>
      </c>
      <c r="D19" s="45">
        <v>10</v>
      </c>
      <c r="E19" s="36">
        <f>(381000*80%)-E18</f>
        <v>119800</v>
      </c>
      <c r="F19" s="36">
        <v>0</v>
      </c>
      <c r="G19" s="36">
        <f>ROUND(E19-F19,0)</f>
        <v>119800</v>
      </c>
      <c r="H19" s="36">
        <f>G19*18%</f>
        <v>21564</v>
      </c>
      <c r="I19" s="36">
        <f>G19+H19</f>
        <v>141364</v>
      </c>
      <c r="J19" s="36">
        <f>G19*$J$6</f>
        <v>1198</v>
      </c>
      <c r="K19" s="36">
        <f>G19*$K$6</f>
        <v>5990</v>
      </c>
      <c r="L19" s="36"/>
      <c r="M19" s="36"/>
      <c r="N19" s="36">
        <f>K19</f>
        <v>5990</v>
      </c>
      <c r="O19" s="59">
        <f>H19</f>
        <v>21564</v>
      </c>
      <c r="P19" s="36"/>
      <c r="Q19" s="36">
        <f>ROUND(I19-SUM(J19:P19),0)</f>
        <v>106622</v>
      </c>
      <c r="R19" s="36">
        <v>106622</v>
      </c>
      <c r="S19" s="37" t="s">
        <v>35</v>
      </c>
      <c r="T19" s="36"/>
    </row>
    <row r="20" spans="1:20" ht="29.25" customHeight="1" x14ac:dyDescent="0.3">
      <c r="A20" s="33">
        <v>58696</v>
      </c>
      <c r="B20" s="34" t="s">
        <v>29</v>
      </c>
      <c r="C20" s="87">
        <v>45210</v>
      </c>
      <c r="D20" s="35">
        <v>7</v>
      </c>
      <c r="E20" s="36">
        <f>H18</f>
        <v>28493.1</v>
      </c>
      <c r="F20" s="36"/>
      <c r="G20" s="36">
        <f>ROUND(E20-F20,0)</f>
        <v>28493</v>
      </c>
      <c r="H20" s="36">
        <v>0</v>
      </c>
      <c r="I20" s="36">
        <f>G20+H20</f>
        <v>28493</v>
      </c>
      <c r="J20" s="36">
        <v>0</v>
      </c>
      <c r="K20" s="36">
        <v>0</v>
      </c>
      <c r="L20" s="36"/>
      <c r="M20" s="36"/>
      <c r="N20" s="36">
        <f>K20</f>
        <v>0</v>
      </c>
      <c r="O20" s="36">
        <f>H20</f>
        <v>0</v>
      </c>
      <c r="P20" s="36"/>
      <c r="Q20" s="59">
        <f>ROUND(I20-SUM(J20:P20),0)</f>
        <v>28493</v>
      </c>
      <c r="R20" s="36">
        <v>28439</v>
      </c>
      <c r="S20" s="37" t="s">
        <v>36</v>
      </c>
      <c r="T20" s="36"/>
    </row>
    <row r="21" spans="1:20" ht="29.25" customHeight="1" x14ac:dyDescent="0.3">
      <c r="A21" s="33">
        <v>58696</v>
      </c>
      <c r="B21" s="34" t="s">
        <v>29</v>
      </c>
      <c r="C21" s="87"/>
      <c r="D21" s="35">
        <v>10</v>
      </c>
      <c r="E21" s="36">
        <f>H19</f>
        <v>21564</v>
      </c>
      <c r="F21" s="36"/>
      <c r="G21" s="36">
        <f>ROUND(E21-F21,0)</f>
        <v>21564</v>
      </c>
      <c r="H21" s="36">
        <v>0</v>
      </c>
      <c r="I21" s="36">
        <f>G21+H21</f>
        <v>21564</v>
      </c>
      <c r="J21" s="36">
        <v>0</v>
      </c>
      <c r="K21" s="36">
        <v>0</v>
      </c>
      <c r="L21" s="36"/>
      <c r="M21" s="36"/>
      <c r="N21" s="36">
        <f>K21</f>
        <v>0</v>
      </c>
      <c r="O21" s="36">
        <f>H21</f>
        <v>0</v>
      </c>
      <c r="P21" s="36"/>
      <c r="Q21" s="59">
        <f>ROUND(I21-SUM(J21:P21),0)</f>
        <v>21564</v>
      </c>
      <c r="R21" s="36">
        <v>21564</v>
      </c>
      <c r="S21" s="37" t="s">
        <v>37</v>
      </c>
      <c r="T21" s="36"/>
    </row>
    <row r="22" spans="1:20" ht="29.25" customHeight="1" x14ac:dyDescent="0.3">
      <c r="A22" s="33">
        <v>58696</v>
      </c>
      <c r="B22" s="34" t="s">
        <v>26</v>
      </c>
      <c r="C22" s="87">
        <v>45486</v>
      </c>
      <c r="D22" s="45">
        <v>3</v>
      </c>
      <c r="E22" s="36">
        <v>19050</v>
      </c>
      <c r="F22" s="36">
        <v>0</v>
      </c>
      <c r="G22" s="36">
        <f>ROUND(E22-F22,0)</f>
        <v>19050</v>
      </c>
      <c r="H22" s="36">
        <f>G22*18%</f>
        <v>3429</v>
      </c>
      <c r="I22" s="36">
        <f>G22+H22</f>
        <v>22479</v>
      </c>
      <c r="J22" s="36">
        <f>G22*$J$6</f>
        <v>190.5</v>
      </c>
      <c r="K22" s="36">
        <f>G22*$K$6</f>
        <v>952.5</v>
      </c>
      <c r="L22" s="36"/>
      <c r="M22" s="36"/>
      <c r="N22" s="36"/>
      <c r="O22" s="59">
        <f>H22</f>
        <v>3429</v>
      </c>
      <c r="P22" s="36"/>
      <c r="Q22" s="36">
        <f>ROUND(I22-SUM(J22:P22),0)</f>
        <v>17907</v>
      </c>
      <c r="R22" s="36">
        <v>17906</v>
      </c>
      <c r="S22" s="37" t="s">
        <v>80</v>
      </c>
      <c r="T22" s="36"/>
    </row>
    <row r="23" spans="1:20" ht="29.25" customHeight="1" x14ac:dyDescent="0.3">
      <c r="A23" s="33">
        <v>58696</v>
      </c>
      <c r="B23" s="34" t="s">
        <v>29</v>
      </c>
      <c r="C23" s="87"/>
      <c r="D23" s="45">
        <v>3</v>
      </c>
      <c r="E23" s="36">
        <f>O22</f>
        <v>3429</v>
      </c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59">
        <f>E23</f>
        <v>3429</v>
      </c>
      <c r="R23" s="36">
        <v>3429</v>
      </c>
      <c r="S23" s="37" t="s">
        <v>83</v>
      </c>
      <c r="T23" s="36"/>
    </row>
    <row r="24" spans="1:20" ht="29.25" customHeight="1" x14ac:dyDescent="0.3">
      <c r="A24" s="33">
        <v>58696</v>
      </c>
      <c r="B24" s="34"/>
      <c r="C24" s="87"/>
      <c r="D24" s="45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7"/>
      <c r="T24" s="36"/>
    </row>
    <row r="25" spans="1:20" ht="29.25" customHeight="1" x14ac:dyDescent="0.3">
      <c r="A25" s="39"/>
      <c r="B25" s="40"/>
      <c r="C25" s="85"/>
      <c r="D25" s="41"/>
      <c r="E25" s="40"/>
      <c r="F25" s="40"/>
      <c r="G25" s="40"/>
      <c r="H25" s="40"/>
      <c r="I25" s="40"/>
      <c r="J25" s="40"/>
      <c r="K25" s="40"/>
      <c r="L25" s="40"/>
      <c r="M25" s="40"/>
      <c r="N25" s="42"/>
      <c r="O25" s="40"/>
      <c r="P25" s="40"/>
      <c r="Q25" s="40"/>
      <c r="R25" s="40"/>
      <c r="S25" s="42"/>
      <c r="T25" s="40"/>
    </row>
    <row r="26" spans="1:20" ht="29.25" customHeight="1" x14ac:dyDescent="0.3">
      <c r="A26" s="33">
        <v>59192</v>
      </c>
      <c r="B26" s="34" t="s">
        <v>25</v>
      </c>
      <c r="C26" s="87">
        <v>45176</v>
      </c>
      <c r="D26" s="45">
        <v>9</v>
      </c>
      <c r="E26" s="36">
        <f>370000*85%</f>
        <v>314500</v>
      </c>
      <c r="F26" s="36">
        <v>19075</v>
      </c>
      <c r="G26" s="36">
        <f>ROUND(E26-F26,0)</f>
        <v>295425</v>
      </c>
      <c r="H26" s="36">
        <f>G26*18%</f>
        <v>53176.5</v>
      </c>
      <c r="I26" s="36">
        <f>G26+H26</f>
        <v>348601.5</v>
      </c>
      <c r="J26" s="36">
        <f>G26*$J$6</f>
        <v>2954.25</v>
      </c>
      <c r="K26" s="36">
        <f>G26*$K$6</f>
        <v>14771.25</v>
      </c>
      <c r="L26" s="36"/>
      <c r="M26" s="36"/>
      <c r="N26" s="36">
        <f>K26</f>
        <v>14771.25</v>
      </c>
      <c r="O26" s="59">
        <f>H26</f>
        <v>53176.5</v>
      </c>
      <c r="P26" s="36"/>
      <c r="Q26" s="36">
        <f>ROUND(I26-SUM(J26:P26),0)</f>
        <v>262928</v>
      </c>
      <c r="R26" s="36">
        <v>262929</v>
      </c>
      <c r="S26" s="37" t="s">
        <v>33</v>
      </c>
      <c r="T26" s="36">
        <f>SUM(Q26:Q27)-SUM(R26:R27)</f>
        <v>-1</v>
      </c>
    </row>
    <row r="27" spans="1:20" ht="29.25" customHeight="1" x14ac:dyDescent="0.3">
      <c r="A27" s="33">
        <v>59192</v>
      </c>
      <c r="B27" s="34" t="s">
        <v>29</v>
      </c>
      <c r="C27" s="87">
        <v>45210</v>
      </c>
      <c r="D27" s="45">
        <v>9</v>
      </c>
      <c r="E27" s="36">
        <v>53177</v>
      </c>
      <c r="F27" s="36"/>
      <c r="G27" s="36">
        <f>ROUND(E27-F27,0)</f>
        <v>53177</v>
      </c>
      <c r="H27" s="36">
        <v>0</v>
      </c>
      <c r="I27" s="36">
        <f>G27+H27</f>
        <v>53177</v>
      </c>
      <c r="J27" s="36">
        <v>0</v>
      </c>
      <c r="K27" s="36">
        <v>0</v>
      </c>
      <c r="L27" s="36"/>
      <c r="M27" s="36"/>
      <c r="N27" s="36">
        <f>K27</f>
        <v>0</v>
      </c>
      <c r="O27" s="36">
        <f>H27</f>
        <v>0</v>
      </c>
      <c r="P27" s="36"/>
      <c r="Q27" s="59">
        <f>ROUND(I27-SUM(J27:P27),0)</f>
        <v>53177</v>
      </c>
      <c r="R27" s="36">
        <v>53177</v>
      </c>
      <c r="S27" s="37" t="s">
        <v>34</v>
      </c>
      <c r="T27" s="36"/>
    </row>
    <row r="28" spans="1:20" ht="29.25" customHeight="1" x14ac:dyDescent="0.3">
      <c r="A28" s="39"/>
      <c r="B28" s="40"/>
      <c r="C28" s="85"/>
      <c r="D28" s="41"/>
      <c r="E28" s="40"/>
      <c r="F28" s="40"/>
      <c r="G28" s="40"/>
      <c r="H28" s="40"/>
      <c r="I28" s="40"/>
      <c r="J28" s="40"/>
      <c r="K28" s="40"/>
      <c r="L28" s="40"/>
      <c r="M28" s="40"/>
      <c r="N28" s="42"/>
      <c r="O28" s="40"/>
      <c r="P28" s="40"/>
      <c r="Q28" s="40"/>
      <c r="R28" s="40"/>
      <c r="S28" s="42"/>
      <c r="T28" s="40"/>
    </row>
    <row r="29" spans="1:20" ht="29.25" customHeight="1" x14ac:dyDescent="0.3">
      <c r="A29" s="33">
        <v>59695</v>
      </c>
      <c r="B29" s="34" t="s">
        <v>117</v>
      </c>
      <c r="C29" s="87">
        <v>45208</v>
      </c>
      <c r="D29" s="35">
        <v>11</v>
      </c>
      <c r="E29" s="36">
        <v>185000</v>
      </c>
      <c r="F29" s="36"/>
      <c r="G29" s="36">
        <f t="shared" ref="G29" si="0">E29-F29</f>
        <v>185000</v>
      </c>
      <c r="H29" s="36">
        <f t="shared" ref="H29" si="1">G29*18%</f>
        <v>33300</v>
      </c>
      <c r="I29" s="36">
        <f t="shared" ref="I29" si="2">G29+H29</f>
        <v>218300</v>
      </c>
      <c r="J29" s="36">
        <f t="shared" ref="J29" si="3">G29*1%</f>
        <v>1850</v>
      </c>
      <c r="K29" s="36">
        <f t="shared" ref="K29" si="4">G29*5%</f>
        <v>9250</v>
      </c>
      <c r="L29" s="36"/>
      <c r="M29" s="36"/>
      <c r="N29" s="36"/>
      <c r="O29" s="59">
        <f t="shared" ref="O29" si="5">H29</f>
        <v>33300</v>
      </c>
      <c r="P29" s="36"/>
      <c r="Q29" s="36">
        <f t="shared" ref="Q29" si="6">I29-J29-K29-N29-O29-P29</f>
        <v>173900</v>
      </c>
      <c r="R29" s="36">
        <v>173900</v>
      </c>
      <c r="S29" s="37" t="s">
        <v>46</v>
      </c>
      <c r="T29" s="36">
        <f>SUM(Q29:Q33)-SUM(R29:R33)</f>
        <v>0.80000000004656613</v>
      </c>
    </row>
    <row r="30" spans="1:20" ht="29.25" customHeight="1" x14ac:dyDescent="0.3">
      <c r="A30" s="33">
        <v>59695</v>
      </c>
      <c r="B30" s="34" t="s">
        <v>48</v>
      </c>
      <c r="C30" s="87">
        <v>45244</v>
      </c>
      <c r="D30" s="35">
        <v>11</v>
      </c>
      <c r="E30" s="36">
        <v>33300</v>
      </c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59">
        <f>E30</f>
        <v>33300</v>
      </c>
      <c r="R30" s="36">
        <v>99000</v>
      </c>
      <c r="S30" s="37" t="s">
        <v>47</v>
      </c>
      <c r="T30" s="36"/>
    </row>
    <row r="31" spans="1:20" ht="29.25" customHeight="1" x14ac:dyDescent="0.3">
      <c r="A31" s="33">
        <v>59695</v>
      </c>
      <c r="B31" s="34" t="s">
        <v>117</v>
      </c>
      <c r="C31" s="87">
        <v>45287</v>
      </c>
      <c r="D31" s="35">
        <v>17</v>
      </c>
      <c r="E31" s="36">
        <v>138850</v>
      </c>
      <c r="F31" s="36">
        <v>15260</v>
      </c>
      <c r="G31" s="36">
        <f t="shared" ref="G31" si="7">E31-F31</f>
        <v>123590</v>
      </c>
      <c r="H31" s="36">
        <f t="shared" ref="H31" si="8">G31*18%</f>
        <v>22246.2</v>
      </c>
      <c r="I31" s="36">
        <f t="shared" ref="I31" si="9">G31+H31</f>
        <v>145836.20000000001</v>
      </c>
      <c r="J31" s="36">
        <f t="shared" ref="J31" si="10">G31*1%</f>
        <v>1235.9000000000001</v>
      </c>
      <c r="K31" s="36">
        <f t="shared" ref="K31" si="11">G31*5%</f>
        <v>6179.5</v>
      </c>
      <c r="L31" s="36"/>
      <c r="M31" s="36"/>
      <c r="N31" s="36"/>
      <c r="O31" s="59">
        <f t="shared" ref="O31" si="12">H31</f>
        <v>22246.2</v>
      </c>
      <c r="P31" s="36"/>
      <c r="Q31" s="36">
        <f t="shared" ref="Q31" si="13">I31-J31-K31-N31-O31-P31</f>
        <v>116174.60000000002</v>
      </c>
      <c r="R31" s="36">
        <v>33300</v>
      </c>
      <c r="S31" s="37" t="s">
        <v>60</v>
      </c>
      <c r="T31" s="36"/>
    </row>
    <row r="32" spans="1:20" ht="29.25" customHeight="1" x14ac:dyDescent="0.3">
      <c r="A32" s="33">
        <v>59695</v>
      </c>
      <c r="B32" s="34" t="s">
        <v>48</v>
      </c>
      <c r="C32" s="87"/>
      <c r="D32" s="35">
        <v>17</v>
      </c>
      <c r="E32" s="36">
        <f>O31</f>
        <v>22246.2</v>
      </c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59">
        <f>E32</f>
        <v>22246.2</v>
      </c>
      <c r="R32" s="36">
        <v>17174</v>
      </c>
      <c r="S32" s="37" t="s">
        <v>61</v>
      </c>
      <c r="T32" s="36"/>
    </row>
    <row r="33" spans="1:20" ht="29.25" customHeight="1" x14ac:dyDescent="0.3">
      <c r="A33" s="33">
        <v>59695</v>
      </c>
      <c r="B33" s="34"/>
      <c r="C33" s="87"/>
      <c r="D33" s="35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>
        <v>22246</v>
      </c>
      <c r="S33" s="37" t="s">
        <v>70</v>
      </c>
      <c r="T33" s="36"/>
    </row>
    <row r="34" spans="1:20" ht="29.25" customHeight="1" x14ac:dyDescent="0.3">
      <c r="A34" s="39"/>
      <c r="B34" s="40"/>
      <c r="C34" s="85"/>
      <c r="D34" s="41"/>
      <c r="E34" s="40"/>
      <c r="F34" s="40"/>
      <c r="G34" s="40"/>
      <c r="H34" s="40"/>
      <c r="I34" s="40"/>
      <c r="J34" s="40"/>
      <c r="K34" s="40"/>
      <c r="L34" s="40"/>
      <c r="M34" s="40"/>
      <c r="N34" s="42"/>
      <c r="O34" s="40"/>
      <c r="P34" s="40"/>
      <c r="Q34" s="40"/>
      <c r="R34" s="40"/>
      <c r="S34" s="46"/>
      <c r="T34" s="40"/>
    </row>
    <row r="35" spans="1:20" ht="29.25" customHeight="1" x14ac:dyDescent="0.3">
      <c r="A35" s="33">
        <v>59696</v>
      </c>
      <c r="B35" s="34" t="s">
        <v>118</v>
      </c>
      <c r="C35" s="87">
        <v>45208</v>
      </c>
      <c r="D35" s="35">
        <v>12</v>
      </c>
      <c r="E35" s="36">
        <v>185000</v>
      </c>
      <c r="F35" s="36"/>
      <c r="G35" s="36">
        <f t="shared" ref="G35" si="14">E35-F35</f>
        <v>185000</v>
      </c>
      <c r="H35" s="36">
        <f t="shared" ref="H35" si="15">G35*18%</f>
        <v>33300</v>
      </c>
      <c r="I35" s="36">
        <f t="shared" ref="I35" si="16">G35+H35</f>
        <v>218300</v>
      </c>
      <c r="J35" s="36">
        <f t="shared" ref="J35" si="17">G35*1%</f>
        <v>1850</v>
      </c>
      <c r="K35" s="36">
        <f t="shared" ref="K35" si="18">G35*5%</f>
        <v>9250</v>
      </c>
      <c r="L35" s="36"/>
      <c r="M35" s="36"/>
      <c r="N35" s="36"/>
      <c r="O35" s="59">
        <f t="shared" ref="O35" si="19">H35</f>
        <v>33300</v>
      </c>
      <c r="P35" s="36"/>
      <c r="Q35" s="36">
        <f t="shared" ref="Q35" si="20">I35-J35-K35-N35-O35-P35</f>
        <v>173900</v>
      </c>
      <c r="R35" s="36">
        <v>173900</v>
      </c>
      <c r="S35" s="37" t="s">
        <v>49</v>
      </c>
      <c r="T35" s="36">
        <f>SUM(Q35:Q39)-SUM(R35:R39)</f>
        <v>1</v>
      </c>
    </row>
    <row r="36" spans="1:20" ht="29.25" customHeight="1" x14ac:dyDescent="0.3">
      <c r="A36" s="33">
        <v>59696</v>
      </c>
      <c r="B36" s="34" t="s">
        <v>118</v>
      </c>
      <c r="C36" s="87">
        <v>45236</v>
      </c>
      <c r="D36" s="35">
        <v>15</v>
      </c>
      <c r="E36" s="36">
        <v>138850</v>
      </c>
      <c r="F36" s="36"/>
      <c r="G36" s="36">
        <f t="shared" ref="G36" si="21">E36-F36</f>
        <v>138850</v>
      </c>
      <c r="H36" s="36">
        <f t="shared" ref="H36" si="22">G36*18%</f>
        <v>24993</v>
      </c>
      <c r="I36" s="36">
        <f t="shared" ref="I36" si="23">G36+H36</f>
        <v>163843</v>
      </c>
      <c r="J36" s="36">
        <f t="shared" ref="J36" si="24">G36*1%</f>
        <v>1388.5</v>
      </c>
      <c r="K36" s="36">
        <f t="shared" ref="K36" si="25">G36*5%</f>
        <v>6942.5</v>
      </c>
      <c r="L36" s="36"/>
      <c r="M36" s="36"/>
      <c r="N36" s="36"/>
      <c r="O36" s="59">
        <f t="shared" ref="O36" si="26">H36</f>
        <v>24993</v>
      </c>
      <c r="P36" s="36"/>
      <c r="Q36" s="36">
        <f t="shared" ref="Q36" si="27">I36-J36-K36-N36-O36-P36</f>
        <v>130519</v>
      </c>
      <c r="R36" s="36">
        <v>99000</v>
      </c>
      <c r="S36" s="37" t="s">
        <v>50</v>
      </c>
      <c r="T36" s="36"/>
    </row>
    <row r="37" spans="1:20" ht="29.25" customHeight="1" x14ac:dyDescent="0.3">
      <c r="A37" s="33">
        <v>59696</v>
      </c>
      <c r="B37" s="34" t="s">
        <v>48</v>
      </c>
      <c r="C37" s="87">
        <v>45244</v>
      </c>
      <c r="D37" s="35">
        <v>12</v>
      </c>
      <c r="E37" s="36">
        <v>33300</v>
      </c>
      <c r="F37" s="36"/>
      <c r="G37" s="36"/>
      <c r="H37" s="36"/>
      <c r="I37" s="36"/>
      <c r="J37" s="36"/>
      <c r="K37" s="36"/>
      <c r="L37" s="36"/>
      <c r="M37" s="36"/>
      <c r="N37" s="36" t="s">
        <v>59</v>
      </c>
      <c r="O37" s="36"/>
      <c r="P37" s="36"/>
      <c r="Q37" s="59">
        <f>E37</f>
        <v>33300</v>
      </c>
      <c r="R37" s="36">
        <v>33300</v>
      </c>
      <c r="S37" s="37" t="s">
        <v>58</v>
      </c>
      <c r="T37" s="36"/>
    </row>
    <row r="38" spans="1:20" ht="29.25" customHeight="1" x14ac:dyDescent="0.3">
      <c r="A38" s="33">
        <v>59696</v>
      </c>
      <c r="B38" s="34" t="s">
        <v>48</v>
      </c>
      <c r="C38" s="87"/>
      <c r="D38" s="35">
        <v>15</v>
      </c>
      <c r="E38" s="36">
        <f>O36</f>
        <v>24993</v>
      </c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59">
        <f>E38</f>
        <v>24993</v>
      </c>
      <c r="R38" s="36">
        <v>31518</v>
      </c>
      <c r="S38" s="37" t="s">
        <v>57</v>
      </c>
      <c r="T38" s="36"/>
    </row>
    <row r="39" spans="1:20" ht="29.25" customHeight="1" x14ac:dyDescent="0.3">
      <c r="A39" s="33">
        <v>59696</v>
      </c>
      <c r="B39" s="34"/>
      <c r="C39" s="87"/>
      <c r="D39" s="35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>
        <v>24993</v>
      </c>
      <c r="S39" s="37" t="s">
        <v>56</v>
      </c>
      <c r="T39" s="36"/>
    </row>
    <row r="40" spans="1:20" ht="29.25" customHeight="1" x14ac:dyDescent="0.3">
      <c r="A40" s="39"/>
      <c r="B40" s="40"/>
      <c r="C40" s="85"/>
      <c r="D40" s="41"/>
      <c r="E40" s="40"/>
      <c r="F40" s="40"/>
      <c r="G40" s="40"/>
      <c r="H40" s="40"/>
      <c r="I40" s="40"/>
      <c r="J40" s="40"/>
      <c r="K40" s="40"/>
      <c r="L40" s="40"/>
      <c r="M40" s="40"/>
      <c r="N40" s="42"/>
      <c r="O40" s="40"/>
      <c r="P40" s="40"/>
      <c r="Q40" s="40"/>
      <c r="R40" s="40"/>
      <c r="S40" s="42"/>
      <c r="T40" s="40"/>
    </row>
    <row r="41" spans="1:20" ht="29.25" customHeight="1" x14ac:dyDescent="0.3">
      <c r="A41" s="33">
        <v>59697</v>
      </c>
      <c r="B41" s="34" t="s">
        <v>119</v>
      </c>
      <c r="C41" s="87">
        <v>45208</v>
      </c>
      <c r="D41" s="35">
        <v>13</v>
      </c>
      <c r="E41" s="36">
        <v>304800</v>
      </c>
      <c r="F41" s="36">
        <v>22890</v>
      </c>
      <c r="G41" s="36">
        <f t="shared" ref="G41" si="28">E41-F41</f>
        <v>281910</v>
      </c>
      <c r="H41" s="36">
        <f t="shared" ref="H41" si="29">G41*18%</f>
        <v>50743.799999999996</v>
      </c>
      <c r="I41" s="36">
        <f t="shared" ref="I41" si="30">G41+H41</f>
        <v>332653.8</v>
      </c>
      <c r="J41" s="36">
        <f t="shared" ref="J41" si="31">G41*1%</f>
        <v>2819.1</v>
      </c>
      <c r="K41" s="36">
        <f t="shared" ref="K41" si="32">G41*5%</f>
        <v>14095.5</v>
      </c>
      <c r="L41" s="36"/>
      <c r="M41" s="36"/>
      <c r="N41" s="36"/>
      <c r="O41" s="59">
        <f t="shared" ref="O41" si="33">H41</f>
        <v>50743.799999999996</v>
      </c>
      <c r="P41" s="36"/>
      <c r="Q41" s="36">
        <f t="shared" ref="Q41" si="34">I41-J41-K41-N41-O41-P41</f>
        <v>264995.40000000002</v>
      </c>
      <c r="R41" s="36">
        <v>264995</v>
      </c>
      <c r="S41" s="37" t="s">
        <v>51</v>
      </c>
      <c r="T41" s="36">
        <f>SUM(Q40:Q43)-SUM(R40:R43)</f>
        <v>-0.59999999997671694</v>
      </c>
    </row>
    <row r="42" spans="1:20" ht="29.25" customHeight="1" x14ac:dyDescent="0.3">
      <c r="A42" s="33">
        <v>59697</v>
      </c>
      <c r="B42" s="34" t="s">
        <v>48</v>
      </c>
      <c r="C42" s="87">
        <v>45244</v>
      </c>
      <c r="D42" s="35">
        <v>13</v>
      </c>
      <c r="E42" s="36">
        <v>50743</v>
      </c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59">
        <f>E42</f>
        <v>50743</v>
      </c>
      <c r="R42" s="36">
        <v>50744</v>
      </c>
      <c r="S42" s="37" t="s">
        <v>52</v>
      </c>
      <c r="T42" s="36"/>
    </row>
    <row r="43" spans="1:20" ht="29.25" customHeight="1" x14ac:dyDescent="0.3">
      <c r="A43" s="33">
        <v>59697</v>
      </c>
      <c r="B43" s="34"/>
      <c r="C43" s="87"/>
      <c r="D43" s="35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7"/>
      <c r="T43" s="36"/>
    </row>
    <row r="44" spans="1:20" ht="29.25" customHeight="1" x14ac:dyDescent="0.3">
      <c r="A44" s="39"/>
      <c r="B44" s="40"/>
      <c r="C44" s="85"/>
      <c r="D44" s="41"/>
      <c r="E44" s="40"/>
      <c r="F44" s="40"/>
      <c r="G44" s="40"/>
      <c r="H44" s="40"/>
      <c r="I44" s="40"/>
      <c r="J44" s="40"/>
      <c r="K44" s="40"/>
      <c r="L44" s="40"/>
      <c r="M44" s="40"/>
      <c r="N44" s="42"/>
      <c r="O44" s="40"/>
      <c r="P44" s="40"/>
      <c r="Q44" s="40"/>
      <c r="R44" s="40"/>
      <c r="S44" s="42"/>
      <c r="T44" s="40"/>
    </row>
    <row r="45" spans="1:20" ht="29.25" customHeight="1" x14ac:dyDescent="0.3">
      <c r="A45" s="33">
        <v>60657</v>
      </c>
      <c r="B45" s="34" t="s">
        <v>120</v>
      </c>
      <c r="C45" s="87">
        <v>45260</v>
      </c>
      <c r="D45" s="35">
        <v>16</v>
      </c>
      <c r="E45" s="36">
        <v>185000</v>
      </c>
      <c r="F45" s="36">
        <v>26705</v>
      </c>
      <c r="G45" s="36">
        <f t="shared" ref="G45" si="35">E45-F45</f>
        <v>158295</v>
      </c>
      <c r="H45" s="36">
        <f t="shared" ref="H45" si="36">G45*18%</f>
        <v>28493.1</v>
      </c>
      <c r="I45" s="36">
        <f t="shared" ref="I45" si="37">G45+H45</f>
        <v>186788.1</v>
      </c>
      <c r="J45" s="36">
        <f t="shared" ref="J45" si="38">G45*1%</f>
        <v>1582.95</v>
      </c>
      <c r="K45" s="36">
        <f t="shared" ref="K45" si="39">G45*5%</f>
        <v>7914.75</v>
      </c>
      <c r="L45" s="36"/>
      <c r="M45" s="36"/>
      <c r="N45" s="36"/>
      <c r="O45" s="59">
        <f t="shared" ref="O45" si="40">H45</f>
        <v>28493.1</v>
      </c>
      <c r="P45" s="36"/>
      <c r="Q45" s="36">
        <f t="shared" ref="Q45" si="41">I45-J45-K45-N45-O45-P45</f>
        <v>148797.29999999999</v>
      </c>
      <c r="R45" s="36">
        <v>148797</v>
      </c>
      <c r="S45" s="37" t="s">
        <v>55</v>
      </c>
      <c r="T45" s="36">
        <f>SUM(Q45:Q49)-SUM(R45:R49)</f>
        <v>0.3999999999650754</v>
      </c>
    </row>
    <row r="46" spans="1:20" ht="29.25" customHeight="1" x14ac:dyDescent="0.3">
      <c r="A46" s="33">
        <v>60657</v>
      </c>
      <c r="B46" s="34" t="s">
        <v>120</v>
      </c>
      <c r="C46" s="87">
        <v>45291</v>
      </c>
      <c r="D46" s="35">
        <v>18</v>
      </c>
      <c r="E46" s="36">
        <v>129500</v>
      </c>
      <c r="F46" s="36">
        <v>0</v>
      </c>
      <c r="G46" s="36">
        <f t="shared" ref="G46:G47" si="42">E46-F46</f>
        <v>129500</v>
      </c>
      <c r="H46" s="36">
        <f t="shared" ref="H46:H47" si="43">G46*18%</f>
        <v>23310</v>
      </c>
      <c r="I46" s="36">
        <f t="shared" ref="I46:I47" si="44">G46+H46</f>
        <v>152810</v>
      </c>
      <c r="J46" s="36">
        <f t="shared" ref="J46:J47" si="45">G46*1%</f>
        <v>1295</v>
      </c>
      <c r="K46" s="36">
        <f t="shared" ref="K46:K47" si="46">G46*5%</f>
        <v>6475</v>
      </c>
      <c r="L46" s="36"/>
      <c r="M46" s="36"/>
      <c r="N46" s="36"/>
      <c r="O46" s="59">
        <f t="shared" ref="O46:O47" si="47">H46</f>
        <v>23310</v>
      </c>
      <c r="P46" s="36"/>
      <c r="Q46" s="36">
        <f t="shared" ref="Q46:Q47" si="48">I46-J46-K46-N46-O46-P46</f>
        <v>121730</v>
      </c>
      <c r="R46" s="36">
        <v>28493</v>
      </c>
      <c r="S46" s="37" t="s">
        <v>54</v>
      </c>
      <c r="T46" s="36"/>
    </row>
    <row r="47" spans="1:20" ht="29.25" customHeight="1" x14ac:dyDescent="0.3">
      <c r="A47" s="33">
        <v>60657</v>
      </c>
      <c r="B47" s="34" t="s">
        <v>120</v>
      </c>
      <c r="C47" s="87">
        <v>45291</v>
      </c>
      <c r="D47" s="35">
        <v>19</v>
      </c>
      <c r="E47" s="36">
        <v>11000</v>
      </c>
      <c r="F47" s="36">
        <v>0</v>
      </c>
      <c r="G47" s="36">
        <f t="shared" si="42"/>
        <v>11000</v>
      </c>
      <c r="H47" s="36">
        <f t="shared" si="43"/>
        <v>1980</v>
      </c>
      <c r="I47" s="36">
        <f t="shared" si="44"/>
        <v>12980</v>
      </c>
      <c r="J47" s="36">
        <f t="shared" si="45"/>
        <v>110</v>
      </c>
      <c r="K47" s="36">
        <f t="shared" si="46"/>
        <v>550</v>
      </c>
      <c r="L47" s="36"/>
      <c r="M47" s="36"/>
      <c r="N47" s="36"/>
      <c r="O47" s="59">
        <f t="shared" si="47"/>
        <v>1980</v>
      </c>
      <c r="P47" s="36"/>
      <c r="Q47" s="36">
        <f t="shared" si="48"/>
        <v>10340</v>
      </c>
      <c r="R47" s="36">
        <v>132070</v>
      </c>
      <c r="S47" s="44" t="s">
        <v>53</v>
      </c>
      <c r="T47" s="36"/>
    </row>
    <row r="48" spans="1:20" ht="29.25" customHeight="1" x14ac:dyDescent="0.3">
      <c r="A48" s="33">
        <v>60657</v>
      </c>
      <c r="B48" s="34" t="s">
        <v>48</v>
      </c>
      <c r="C48" s="87"/>
      <c r="D48" s="35">
        <v>16</v>
      </c>
      <c r="E48" s="36">
        <f>H45</f>
        <v>28493.1</v>
      </c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59">
        <f>E48</f>
        <v>28493.1</v>
      </c>
      <c r="R48" s="36">
        <v>25290</v>
      </c>
      <c r="S48" s="44" t="s">
        <v>69</v>
      </c>
      <c r="T48" s="36"/>
    </row>
    <row r="49" spans="1:20" ht="29.25" customHeight="1" x14ac:dyDescent="0.3">
      <c r="A49" s="33">
        <v>60657</v>
      </c>
      <c r="B49" s="34" t="s">
        <v>48</v>
      </c>
      <c r="C49" s="87"/>
      <c r="D49" s="35" t="s">
        <v>64</v>
      </c>
      <c r="E49" s="36">
        <f>O46+O47</f>
        <v>25290</v>
      </c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59">
        <f>E49</f>
        <v>25290</v>
      </c>
      <c r="R49" s="36"/>
      <c r="S49" s="44"/>
      <c r="T49" s="36"/>
    </row>
    <row r="50" spans="1:20" ht="29.25" customHeight="1" x14ac:dyDescent="0.3">
      <c r="A50" s="39"/>
      <c r="B50" s="40"/>
      <c r="C50" s="85"/>
      <c r="D50" s="41"/>
      <c r="E50" s="40"/>
      <c r="F50" s="40"/>
      <c r="G50" s="40"/>
      <c r="H50" s="40"/>
      <c r="I50" s="40"/>
      <c r="J50" s="40"/>
      <c r="K50" s="40"/>
      <c r="L50" s="40"/>
      <c r="M50" s="40"/>
      <c r="N50" s="42"/>
      <c r="O50" s="40"/>
      <c r="P50" s="40"/>
      <c r="Q50" s="40"/>
      <c r="R50" s="40"/>
      <c r="S50" s="42"/>
      <c r="T50" s="40"/>
    </row>
    <row r="51" spans="1:20" ht="29.25" customHeight="1" x14ac:dyDescent="0.3">
      <c r="A51" s="33">
        <v>61690</v>
      </c>
      <c r="B51" s="34" t="s">
        <v>121</v>
      </c>
      <c r="C51" s="87">
        <v>45299</v>
      </c>
      <c r="D51" s="35">
        <v>20</v>
      </c>
      <c r="E51" s="36">
        <v>185000</v>
      </c>
      <c r="F51" s="36">
        <v>30520</v>
      </c>
      <c r="G51" s="36">
        <f t="shared" ref="G51" si="49">E51-F51</f>
        <v>154480</v>
      </c>
      <c r="H51" s="36">
        <f t="shared" ref="H51" si="50">G51*18%</f>
        <v>27806.399999999998</v>
      </c>
      <c r="I51" s="36">
        <f t="shared" ref="I51" si="51">G51+H51</f>
        <v>182286.4</v>
      </c>
      <c r="J51" s="36">
        <f t="shared" ref="J51" si="52">G51*1%</f>
        <v>1544.8</v>
      </c>
      <c r="K51" s="36">
        <f t="shared" ref="K51" si="53">G51*5%</f>
        <v>7724</v>
      </c>
      <c r="L51" s="36"/>
      <c r="M51" s="36"/>
      <c r="N51" s="36"/>
      <c r="O51" s="59">
        <f t="shared" ref="O51" si="54">H51</f>
        <v>27806.399999999998</v>
      </c>
      <c r="P51" s="36"/>
      <c r="Q51" s="36">
        <f t="shared" ref="Q51" si="55">I51-J51-K51-N51-O51-P51</f>
        <v>145211.20000000001</v>
      </c>
      <c r="R51" s="36">
        <v>145211</v>
      </c>
      <c r="S51" s="37" t="s">
        <v>65</v>
      </c>
      <c r="T51" s="36">
        <f>SUM(Q51:Q54)-SUM(R51:R54)</f>
        <v>0.35999999998603016</v>
      </c>
    </row>
    <row r="52" spans="1:20" ht="29.25" customHeight="1" x14ac:dyDescent="0.3">
      <c r="A52" s="33">
        <v>61690</v>
      </c>
      <c r="B52" s="34" t="s">
        <v>121</v>
      </c>
      <c r="C52" s="87">
        <v>45322</v>
      </c>
      <c r="D52" s="35">
        <v>21</v>
      </c>
      <c r="E52" s="36">
        <v>138850</v>
      </c>
      <c r="F52" s="36">
        <v>3052</v>
      </c>
      <c r="G52" s="36">
        <f t="shared" ref="G52" si="56">E52-F52</f>
        <v>135798</v>
      </c>
      <c r="H52" s="36">
        <f t="shared" ref="H52" si="57">G52*18%</f>
        <v>24443.64</v>
      </c>
      <c r="I52" s="36">
        <f t="shared" ref="I52" si="58">G52+H52</f>
        <v>160241.64000000001</v>
      </c>
      <c r="J52" s="36">
        <f t="shared" ref="J52" si="59">G52*1%</f>
        <v>1357.98</v>
      </c>
      <c r="K52" s="36">
        <f t="shared" ref="K52" si="60">G52*5%</f>
        <v>6789.9000000000005</v>
      </c>
      <c r="L52" s="36"/>
      <c r="M52" s="36"/>
      <c r="N52" s="36"/>
      <c r="O52" s="59">
        <f t="shared" ref="O52" si="61">H52</f>
        <v>24443.64</v>
      </c>
      <c r="P52" s="36"/>
      <c r="Q52" s="36">
        <f t="shared" ref="Q52" si="62">I52-J52-K52-N52-O52-P52</f>
        <v>127650.12000000001</v>
      </c>
      <c r="R52" s="36"/>
      <c r="S52" s="58" t="s">
        <v>71</v>
      </c>
      <c r="T52" s="36"/>
    </row>
    <row r="53" spans="1:20" ht="29.25" customHeight="1" x14ac:dyDescent="0.3">
      <c r="A53" s="33">
        <v>61690</v>
      </c>
      <c r="B53" s="34" t="s">
        <v>29</v>
      </c>
      <c r="C53" s="87"/>
      <c r="D53" s="35" t="s">
        <v>66</v>
      </c>
      <c r="E53" s="36">
        <f>O51+O52</f>
        <v>52250.039999999994</v>
      </c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59">
        <f>E53</f>
        <v>52250.039999999994</v>
      </c>
      <c r="R53" s="36">
        <v>52250</v>
      </c>
      <c r="S53" s="58" t="s">
        <v>76</v>
      </c>
      <c r="T53" s="36"/>
    </row>
    <row r="54" spans="1:20" ht="29.25" customHeight="1" x14ac:dyDescent="0.3">
      <c r="A54" s="33">
        <v>61690</v>
      </c>
      <c r="B54" s="34"/>
      <c r="C54" s="87"/>
      <c r="D54" s="35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>
        <v>127650</v>
      </c>
      <c r="S54" s="58" t="s">
        <v>77</v>
      </c>
      <c r="T54" s="36"/>
    </row>
    <row r="55" spans="1:20" ht="29.25" customHeight="1" x14ac:dyDescent="0.3">
      <c r="A55" s="39">
        <v>62761</v>
      </c>
      <c r="B55" s="40"/>
      <c r="C55" s="85"/>
      <c r="D55" s="41"/>
      <c r="E55" s="40"/>
      <c r="F55" s="40"/>
      <c r="G55" s="40"/>
      <c r="H55" s="40"/>
      <c r="I55" s="40"/>
      <c r="J55" s="40"/>
      <c r="K55" s="40"/>
      <c r="L55" s="40"/>
      <c r="M55" s="40"/>
      <c r="N55" s="42"/>
      <c r="O55" s="40"/>
      <c r="P55" s="40"/>
      <c r="Q55" s="40"/>
      <c r="R55" s="40"/>
      <c r="S55" s="42"/>
      <c r="T55" s="40"/>
    </row>
    <row r="56" spans="1:20" ht="29.25" customHeight="1" x14ac:dyDescent="0.3">
      <c r="A56" s="39">
        <v>62761</v>
      </c>
      <c r="B56" s="34" t="s">
        <v>113</v>
      </c>
      <c r="C56" s="87">
        <v>45356</v>
      </c>
      <c r="D56" s="35">
        <v>22</v>
      </c>
      <c r="E56" s="36">
        <v>323850</v>
      </c>
      <c r="F56" s="36"/>
      <c r="G56" s="36">
        <f t="shared" ref="G56" si="63">E56-F56</f>
        <v>323850</v>
      </c>
      <c r="H56" s="36">
        <f t="shared" ref="H56" si="64">G56*18%</f>
        <v>58293</v>
      </c>
      <c r="I56" s="36">
        <f t="shared" ref="I56" si="65">G56+H56</f>
        <v>382143</v>
      </c>
      <c r="J56" s="36">
        <f t="shared" ref="J56" si="66">G56*1%</f>
        <v>3238.5</v>
      </c>
      <c r="K56" s="36">
        <f t="shared" ref="K56" si="67">G56*5%</f>
        <v>16192.5</v>
      </c>
      <c r="L56" s="36"/>
      <c r="M56" s="36"/>
      <c r="N56" s="36"/>
      <c r="O56" s="59">
        <f t="shared" ref="O56" si="68">H56</f>
        <v>58293</v>
      </c>
      <c r="P56" s="36"/>
      <c r="Q56" s="36">
        <f t="shared" ref="Q56" si="69">I56-J56-K56-N56-O56-P56</f>
        <v>304419</v>
      </c>
      <c r="R56" s="36">
        <v>304418</v>
      </c>
      <c r="S56" s="37" t="s">
        <v>73</v>
      </c>
      <c r="T56" s="36">
        <f>SUM(Q56:Q58)-SUM(R56:R58)</f>
        <v>1</v>
      </c>
    </row>
    <row r="57" spans="1:20" ht="29.25" customHeight="1" x14ac:dyDescent="0.3">
      <c r="A57" s="39">
        <v>62761</v>
      </c>
      <c r="B57" s="34" t="s">
        <v>29</v>
      </c>
      <c r="C57" s="87"/>
      <c r="D57" s="35">
        <v>22</v>
      </c>
      <c r="E57" s="36">
        <f>O56</f>
        <v>58293</v>
      </c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59">
        <f>E57</f>
        <v>58293</v>
      </c>
      <c r="R57" s="36">
        <v>58293</v>
      </c>
      <c r="S57" s="37" t="s">
        <v>75</v>
      </c>
      <c r="T57" s="36"/>
    </row>
    <row r="58" spans="1:20" ht="29.25" customHeight="1" x14ac:dyDescent="0.3">
      <c r="A58" s="39">
        <v>62761</v>
      </c>
      <c r="B58" s="50"/>
      <c r="C58" s="89"/>
      <c r="D58" s="51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3"/>
      <c r="T58" s="52"/>
    </row>
    <row r="59" spans="1:20" ht="29.25" customHeight="1" x14ac:dyDescent="0.3">
      <c r="A59" s="39">
        <v>63309</v>
      </c>
      <c r="B59" s="40"/>
      <c r="C59" s="85"/>
      <c r="D59" s="41"/>
      <c r="E59" s="40"/>
      <c r="F59" s="40"/>
      <c r="G59" s="40"/>
      <c r="H59" s="40"/>
      <c r="I59" s="40"/>
      <c r="J59" s="40"/>
      <c r="K59" s="40"/>
      <c r="L59" s="40"/>
      <c r="M59" s="40"/>
      <c r="N59" s="42"/>
      <c r="O59" s="40"/>
      <c r="P59" s="40"/>
      <c r="Q59" s="40"/>
      <c r="R59" s="40"/>
      <c r="S59" s="42"/>
      <c r="T59" s="40"/>
    </row>
    <row r="60" spans="1:20" ht="29.25" customHeight="1" x14ac:dyDescent="0.3">
      <c r="A60" s="39">
        <v>63309</v>
      </c>
      <c r="B60" s="50" t="s">
        <v>114</v>
      </c>
      <c r="C60" s="89">
        <v>45025</v>
      </c>
      <c r="D60" s="51">
        <v>1</v>
      </c>
      <c r="E60" s="52">
        <v>313460</v>
      </c>
      <c r="F60" s="52"/>
      <c r="G60" s="36">
        <f t="shared" ref="G60" si="70">E60-F60</f>
        <v>313460</v>
      </c>
      <c r="H60" s="36">
        <f t="shared" ref="H60" si="71">G60*18%</f>
        <v>56422.799999999996</v>
      </c>
      <c r="I60" s="36">
        <f t="shared" ref="I60" si="72">G60+H60</f>
        <v>369882.8</v>
      </c>
      <c r="J60" s="36">
        <f t="shared" ref="J60" si="73">G60*1%</f>
        <v>3134.6</v>
      </c>
      <c r="K60" s="36">
        <f t="shared" ref="K60" si="74">G60*5%</f>
        <v>15673</v>
      </c>
      <c r="L60" s="36"/>
      <c r="M60" s="36"/>
      <c r="N60" s="36"/>
      <c r="O60" s="59">
        <f t="shared" ref="O60" si="75">H60</f>
        <v>56422.799999999996</v>
      </c>
      <c r="P60" s="36"/>
      <c r="Q60" s="36">
        <f t="shared" ref="Q60" si="76">I60-J60-K60-N60-O60-P60</f>
        <v>294652.40000000002</v>
      </c>
      <c r="R60" s="52">
        <v>294652</v>
      </c>
      <c r="S60" s="53" t="s">
        <v>74</v>
      </c>
      <c r="T60" s="52">
        <f>SUM(Q60:Q61)-SUM(R60:R61)</f>
        <v>0.20000000001164153</v>
      </c>
    </row>
    <row r="61" spans="1:20" ht="29.25" customHeight="1" x14ac:dyDescent="0.3">
      <c r="A61" s="39">
        <v>63309</v>
      </c>
      <c r="B61" s="34" t="s">
        <v>29</v>
      </c>
      <c r="C61" s="89"/>
      <c r="D61" s="51">
        <v>1</v>
      </c>
      <c r="E61" s="52">
        <f>O60</f>
        <v>56422.799999999996</v>
      </c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61">
        <f>E61</f>
        <v>56422.799999999996</v>
      </c>
      <c r="R61" s="52">
        <v>56423</v>
      </c>
      <c r="S61" s="53" t="s">
        <v>78</v>
      </c>
      <c r="T61" s="52"/>
    </row>
    <row r="62" spans="1:20" ht="29.25" customHeight="1" x14ac:dyDescent="0.3">
      <c r="A62" s="39">
        <v>65787</v>
      </c>
      <c r="B62" s="40"/>
      <c r="C62" s="85"/>
      <c r="D62" s="41"/>
      <c r="E62" s="40"/>
      <c r="F62" s="40"/>
      <c r="G62" s="40"/>
      <c r="H62" s="40"/>
      <c r="I62" s="40"/>
      <c r="J62" s="40"/>
      <c r="K62" s="40"/>
      <c r="L62" s="40"/>
      <c r="M62" s="40"/>
      <c r="N62" s="42"/>
      <c r="O62" s="40"/>
      <c r="P62" s="40"/>
      <c r="Q62" s="40"/>
      <c r="R62" s="40"/>
      <c r="S62" s="42"/>
      <c r="T62" s="40"/>
    </row>
    <row r="63" spans="1:20" ht="29.25" customHeight="1" x14ac:dyDescent="0.3">
      <c r="A63" s="39">
        <v>65787</v>
      </c>
      <c r="B63" s="50" t="s">
        <v>122</v>
      </c>
      <c r="C63" s="89">
        <v>45607</v>
      </c>
      <c r="D63" s="51">
        <v>5</v>
      </c>
      <c r="E63" s="52">
        <v>131158</v>
      </c>
      <c r="F63" s="52">
        <v>15260</v>
      </c>
      <c r="G63" s="36">
        <f t="shared" ref="G63" si="77">E63-F63</f>
        <v>115898</v>
      </c>
      <c r="H63" s="36">
        <f t="shared" ref="H63" si="78">G63*18%</f>
        <v>20861.64</v>
      </c>
      <c r="I63" s="36">
        <f t="shared" ref="I63" si="79">G63+H63</f>
        <v>136759.64000000001</v>
      </c>
      <c r="J63" s="36">
        <f t="shared" ref="J63" si="80">G63*1%</f>
        <v>1158.98</v>
      </c>
      <c r="K63" s="36">
        <f t="shared" ref="K63" si="81">G63*5%</f>
        <v>5794.9000000000005</v>
      </c>
      <c r="L63" s="36">
        <f>G63*10%</f>
        <v>11589.800000000001</v>
      </c>
      <c r="M63" s="36">
        <f>G63*10%</f>
        <v>11589.800000000001</v>
      </c>
      <c r="N63" s="36"/>
      <c r="O63" s="59">
        <f t="shared" ref="O63" si="82">H63</f>
        <v>20861.64</v>
      </c>
      <c r="P63" s="36"/>
      <c r="Q63" s="36">
        <f>I63-J63-K63-N63-O63-P63-L63-M63</f>
        <v>85764.52</v>
      </c>
      <c r="R63" s="52">
        <v>99000</v>
      </c>
      <c r="S63" s="53" t="s">
        <v>82</v>
      </c>
      <c r="T63" s="52">
        <f>SUM(Q63:Q64)-SUM(R63:R64)</f>
        <v>-17123.839999999997</v>
      </c>
    </row>
    <row r="64" spans="1:20" ht="29.25" customHeight="1" x14ac:dyDescent="0.3">
      <c r="A64" s="39">
        <v>65787</v>
      </c>
      <c r="B64" s="34" t="s">
        <v>29</v>
      </c>
      <c r="C64" s="89"/>
      <c r="D64" s="51">
        <v>5</v>
      </c>
      <c r="E64" s="52">
        <f>O63</f>
        <v>20861.64</v>
      </c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61">
        <f>E64</f>
        <v>20861.64</v>
      </c>
      <c r="R64" s="52">
        <v>24750</v>
      </c>
      <c r="S64" s="53" t="s">
        <v>84</v>
      </c>
      <c r="T64" s="52"/>
    </row>
    <row r="65" spans="1:20" ht="29.25" customHeight="1" thickBot="1" x14ac:dyDescent="0.35">
      <c r="A65" s="39">
        <v>65787</v>
      </c>
      <c r="B65" s="50"/>
      <c r="C65" s="89"/>
      <c r="D65" s="51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3"/>
      <c r="T65" s="52"/>
    </row>
    <row r="66" spans="1:20" ht="29.25" customHeight="1" x14ac:dyDescent="0.3">
      <c r="A66" s="54"/>
      <c r="B66" s="55"/>
      <c r="C66" s="90"/>
      <c r="D66" s="56"/>
      <c r="E66" s="55"/>
      <c r="F66" s="55"/>
      <c r="G66" s="55"/>
      <c r="H66" s="55"/>
      <c r="I66" s="55"/>
      <c r="J66" s="57"/>
      <c r="K66" s="57">
        <f>SUM(K7:K65)</f>
        <v>159828.04999999999</v>
      </c>
      <c r="L66" s="57">
        <f>SUM(L7:L65)</f>
        <v>11589.800000000001</v>
      </c>
      <c r="M66" s="57">
        <f>SUM(M7:M65)</f>
        <v>11589.800000000001</v>
      </c>
      <c r="N66" s="57">
        <f>SUM(N7:N65)</f>
        <v>42963.5</v>
      </c>
      <c r="O66" s="57">
        <f>SUM(O7:O65)</f>
        <v>575379.18000000005</v>
      </c>
      <c r="P66" s="57">
        <f>SUM(P7:P65)</f>
        <v>0</v>
      </c>
      <c r="Q66" s="57">
        <f>SUM(Q6:Q65)</f>
        <v>3513993.3200000003</v>
      </c>
      <c r="R66" s="57">
        <f>SUM(R6:R65)</f>
        <v>3531058</v>
      </c>
      <c r="S66" s="57" t="s">
        <v>43</v>
      </c>
      <c r="T66" s="57">
        <f>SUM(T6:T65)</f>
        <v>-17064.679999999964</v>
      </c>
    </row>
    <row r="67" spans="1:20" ht="29.25" customHeight="1" thickBot="1" x14ac:dyDescent="0.35">
      <c r="A67" s="47"/>
      <c r="B67" s="48"/>
      <c r="C67" s="91"/>
      <c r="D67" s="49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7">
        <f>Q66-R66</f>
        <v>-17064.679999999702</v>
      </c>
      <c r="S67" s="47" t="s">
        <v>44</v>
      </c>
      <c r="T67" s="47"/>
    </row>
    <row r="68" spans="1:20" ht="29.25" customHeight="1" x14ac:dyDescent="0.3">
      <c r="A68" s="2"/>
      <c r="D68" s="2"/>
      <c r="H68" s="2"/>
      <c r="I68" s="2"/>
    </row>
    <row r="69" spans="1:20" ht="29.25" customHeight="1" x14ac:dyDescent="0.3">
      <c r="A69" s="10"/>
      <c r="B69" s="6"/>
      <c r="C69" s="92"/>
      <c r="D69" s="2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29.25" customHeight="1" thickBot="1" x14ac:dyDescent="0.35">
      <c r="A70" s="10"/>
      <c r="B70" s="11"/>
      <c r="C70" s="92"/>
      <c r="D70" s="2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29.25" customHeight="1" x14ac:dyDescent="0.3">
      <c r="A71" s="10"/>
      <c r="B71" s="6"/>
      <c r="C71" s="92"/>
      <c r="D71" s="26"/>
      <c r="E71" s="6"/>
      <c r="F71" s="6"/>
      <c r="G71" s="6"/>
      <c r="H71" s="6"/>
      <c r="I71" s="2"/>
      <c r="J71" s="74" t="s">
        <v>28</v>
      </c>
      <c r="K71" s="74"/>
      <c r="L71" s="74"/>
      <c r="M71" s="74"/>
      <c r="N71" s="74"/>
      <c r="P71" s="6"/>
      <c r="Q71" s="6"/>
      <c r="R71" s="6"/>
      <c r="S71" s="6"/>
      <c r="T71" s="6"/>
    </row>
    <row r="72" spans="1:20" ht="29.25" customHeight="1" thickBot="1" x14ac:dyDescent="0.35">
      <c r="A72" s="10"/>
      <c r="B72" s="6"/>
      <c r="C72" s="92"/>
      <c r="D72" s="26"/>
      <c r="E72" s="6"/>
      <c r="F72" s="6"/>
      <c r="G72" s="12"/>
      <c r="H72" s="12"/>
      <c r="I72" s="2"/>
      <c r="J72" s="72">
        <v>45670</v>
      </c>
      <c r="K72" s="73"/>
      <c r="L72" s="73"/>
      <c r="M72" s="73"/>
      <c r="N72" s="73"/>
      <c r="O72" s="27"/>
      <c r="P72" s="6"/>
      <c r="Q72" s="6"/>
      <c r="R72" s="6"/>
      <c r="T72" s="6"/>
    </row>
    <row r="73" spans="1:20" ht="29.25" customHeight="1" thickBot="1" x14ac:dyDescent="0.35">
      <c r="A73" s="10"/>
      <c r="B73" s="6"/>
      <c r="C73" s="92"/>
      <c r="D73" s="26"/>
      <c r="E73" s="6"/>
      <c r="F73" s="6"/>
      <c r="G73" s="12"/>
      <c r="H73" s="12"/>
      <c r="I73" s="2"/>
      <c r="J73" s="75" t="s">
        <v>62</v>
      </c>
      <c r="K73" s="75"/>
      <c r="L73" s="62"/>
      <c r="M73" s="78">
        <f>N66+K66+L66+M66</f>
        <v>225971.14999999997</v>
      </c>
      <c r="N73" s="79"/>
      <c r="O73" s="27"/>
      <c r="P73" s="6"/>
      <c r="Q73" s="6"/>
      <c r="R73" s="6"/>
      <c r="T73" s="6"/>
    </row>
    <row r="74" spans="1:20" ht="29.25" customHeight="1" thickBot="1" x14ac:dyDescent="0.35">
      <c r="A74" s="10"/>
      <c r="B74" s="6"/>
      <c r="C74" s="92"/>
      <c r="D74" s="26"/>
      <c r="E74" s="6"/>
      <c r="F74" s="6"/>
      <c r="G74" s="12"/>
      <c r="H74" s="12"/>
      <c r="I74" s="2"/>
      <c r="J74" s="28" t="s">
        <v>63</v>
      </c>
      <c r="K74" s="28"/>
      <c r="L74" s="28"/>
      <c r="M74" s="78">
        <f>R67</f>
        <v>-17064.679999999702</v>
      </c>
      <c r="N74" s="79">
        <f>R67</f>
        <v>-17064.679999999702</v>
      </c>
      <c r="O74" s="27"/>
      <c r="P74" s="6"/>
      <c r="Q74" s="6"/>
      <c r="R74" s="6"/>
      <c r="T74" s="6"/>
    </row>
    <row r="75" spans="1:20" ht="29.25" customHeight="1" thickBot="1" x14ac:dyDescent="0.35">
      <c r="A75" s="10"/>
      <c r="B75" s="6"/>
      <c r="C75" s="92"/>
      <c r="D75" s="26"/>
      <c r="E75" s="6"/>
      <c r="F75" s="6"/>
      <c r="G75" s="12"/>
      <c r="H75" s="12"/>
      <c r="I75" s="2"/>
      <c r="J75" s="76" t="s">
        <v>81</v>
      </c>
      <c r="K75" s="76"/>
      <c r="L75" s="63"/>
      <c r="M75" s="78">
        <f>P66</f>
        <v>0</v>
      </c>
      <c r="N75" s="79">
        <f>P66</f>
        <v>0</v>
      </c>
      <c r="O75" s="27"/>
      <c r="P75" s="6"/>
      <c r="Q75" s="6"/>
      <c r="R75" s="6"/>
      <c r="S75" s="6"/>
      <c r="T75" s="6"/>
    </row>
    <row r="76" spans="1:20" ht="29.25" customHeight="1" thickBot="1" x14ac:dyDescent="0.35">
      <c r="A76" s="10"/>
      <c r="B76" s="6"/>
      <c r="C76" s="92"/>
      <c r="D76" s="26"/>
      <c r="E76" s="6"/>
      <c r="F76" s="6"/>
      <c r="G76" s="12"/>
      <c r="H76" s="12"/>
      <c r="I76" s="2"/>
      <c r="J76" s="77" t="s">
        <v>72</v>
      </c>
      <c r="K76" s="77"/>
      <c r="L76" s="64"/>
      <c r="M76" s="78" t="e">
        <f>O66-Q64-Q61-Q57-Q53-Q49-Q48-Q42-Q38-Q37-Q32-Q30-Q27-Q23-Q21-Q20-Q16-Q13-Q11-Q9-#REF!-#REF!-#REF!-#REF!-#REF!-#REF!-#REF!-#REF!-#REF!</f>
        <v>#REF!</v>
      </c>
      <c r="N76" s="79">
        <f>O63+O12</f>
        <v>27719.64</v>
      </c>
      <c r="P76" s="6"/>
      <c r="Q76" s="6"/>
      <c r="R76" s="6"/>
      <c r="S76" s="6"/>
      <c r="T76" s="6"/>
    </row>
    <row r="77" spans="1:20" ht="29.25" customHeight="1" x14ac:dyDescent="0.3">
      <c r="A77" s="10"/>
      <c r="B77" s="6"/>
      <c r="C77" s="92"/>
      <c r="D77" s="26"/>
      <c r="E77" s="6"/>
      <c r="F77" s="6"/>
      <c r="G77" s="12"/>
      <c r="H77" s="12"/>
      <c r="I77" s="12"/>
      <c r="J77" s="12"/>
      <c r="K77" s="12"/>
      <c r="L77" s="12"/>
      <c r="M77" s="12"/>
      <c r="N77" s="12"/>
      <c r="O77" s="6"/>
      <c r="P77" s="6"/>
      <c r="Q77" s="6"/>
      <c r="R77" s="6"/>
      <c r="S77" s="6"/>
      <c r="T77" s="6"/>
    </row>
    <row r="78" spans="1:20" ht="29.25" customHeight="1" x14ac:dyDescent="0.3">
      <c r="A78" s="10"/>
      <c r="B78" s="6"/>
      <c r="C78" s="92"/>
      <c r="D78" s="26"/>
      <c r="E78" s="6"/>
      <c r="F78" s="6"/>
      <c r="G78" s="12"/>
      <c r="H78" s="12"/>
      <c r="I78" s="12"/>
      <c r="J78" s="12"/>
      <c r="K78" s="12"/>
      <c r="L78" s="12"/>
      <c r="M78" s="12"/>
      <c r="N78" s="12"/>
      <c r="O78" s="6"/>
      <c r="P78" s="6"/>
      <c r="Q78" s="6"/>
      <c r="R78" s="6"/>
      <c r="S78" s="6"/>
      <c r="T78" s="6"/>
    </row>
    <row r="79" spans="1:20" ht="29.25" customHeight="1" x14ac:dyDescent="0.3">
      <c r="A79" s="10"/>
      <c r="B79" s="6"/>
      <c r="C79" s="92"/>
      <c r="D79" s="26"/>
      <c r="E79" s="6"/>
      <c r="F79" s="6"/>
      <c r="G79" s="12"/>
      <c r="H79" s="12"/>
      <c r="I79" s="12"/>
      <c r="J79" s="12"/>
      <c r="K79" s="12"/>
      <c r="L79" s="12"/>
      <c r="M79" s="12"/>
      <c r="N79" s="12"/>
      <c r="O79" s="6"/>
      <c r="P79" s="6"/>
      <c r="Q79" s="6"/>
      <c r="R79" s="6"/>
      <c r="S79" s="6"/>
      <c r="T79" s="6"/>
    </row>
    <row r="80" spans="1:20" ht="29.25" customHeight="1" x14ac:dyDescent="0.3">
      <c r="A80" s="10"/>
      <c r="B80" s="6"/>
      <c r="C80" s="92"/>
      <c r="D80" s="26"/>
      <c r="E80" s="6"/>
      <c r="F80" s="6"/>
      <c r="G80" s="12"/>
      <c r="H80" s="12"/>
      <c r="I80" s="12"/>
      <c r="J80" s="12"/>
      <c r="K80" s="12"/>
      <c r="L80" s="12"/>
      <c r="M80" s="12"/>
      <c r="N80" s="12"/>
      <c r="O80" s="6"/>
      <c r="P80" s="6"/>
      <c r="Q80" s="6"/>
      <c r="R80" s="6"/>
      <c r="S80" s="6"/>
      <c r="T80" s="6"/>
    </row>
    <row r="81" spans="1:20" ht="29.25" customHeight="1" x14ac:dyDescent="0.3">
      <c r="A81" s="10"/>
      <c r="B81" s="6"/>
      <c r="C81" s="92"/>
      <c r="D81" s="26"/>
      <c r="E81" s="6"/>
      <c r="F81" s="6"/>
      <c r="G81" s="12"/>
      <c r="H81" s="12"/>
      <c r="I81" s="12"/>
      <c r="J81" s="12"/>
      <c r="K81" s="12"/>
      <c r="L81" s="12"/>
      <c r="M81" s="12"/>
      <c r="N81" s="12"/>
      <c r="O81" s="6"/>
      <c r="P81" s="6"/>
      <c r="Q81" s="6"/>
      <c r="R81" s="6"/>
      <c r="S81" s="6"/>
      <c r="T81" s="6"/>
    </row>
    <row r="82" spans="1:20" ht="29.25" customHeight="1" x14ac:dyDescent="0.3">
      <c r="A82" s="10"/>
      <c r="B82" s="6"/>
      <c r="C82" s="92"/>
      <c r="D82" s="2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29.25" customHeight="1" x14ac:dyDescent="0.3">
      <c r="A83" s="10"/>
      <c r="B83" s="6"/>
      <c r="C83" s="92"/>
      <c r="D83" s="2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29.25" customHeight="1" x14ac:dyDescent="0.3">
      <c r="A84" s="10"/>
      <c r="B84" s="6"/>
      <c r="C84" s="92"/>
      <c r="D84" s="2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29.25" customHeight="1" x14ac:dyDescent="0.3">
      <c r="A85" s="10"/>
      <c r="B85" s="6"/>
      <c r="C85" s="92"/>
      <c r="D85" s="2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29.25" customHeight="1" x14ac:dyDescent="0.3">
      <c r="A86" s="10"/>
      <c r="B86" s="6"/>
      <c r="C86" s="92"/>
      <c r="D86" s="2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29.25" customHeight="1" x14ac:dyDescent="0.3">
      <c r="A87" s="10"/>
      <c r="B87" s="6"/>
      <c r="C87" s="92"/>
      <c r="D87" s="2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29.25" customHeight="1" x14ac:dyDescent="0.3">
      <c r="A88" s="10"/>
      <c r="B88" s="6"/>
      <c r="C88" s="92"/>
      <c r="D88" s="2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29.25" customHeight="1" x14ac:dyDescent="0.3">
      <c r="A89" s="10"/>
      <c r="B89" s="6"/>
      <c r="C89" s="92"/>
      <c r="D89" s="2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29.25" customHeight="1" x14ac:dyDescent="0.3">
      <c r="A90" s="10"/>
      <c r="B90" s="6"/>
      <c r="C90" s="92"/>
      <c r="D90" s="2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29.25" customHeight="1" x14ac:dyDescent="0.3">
      <c r="A91" s="10"/>
      <c r="B91" s="6"/>
      <c r="C91" s="92"/>
      <c r="D91" s="2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29.25" customHeight="1" x14ac:dyDescent="0.3">
      <c r="A92" s="10"/>
      <c r="B92" s="6"/>
      <c r="C92" s="92"/>
      <c r="D92" s="2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29.25" customHeight="1" x14ac:dyDescent="0.3">
      <c r="A93" s="10"/>
      <c r="B93" s="6"/>
      <c r="C93" s="92"/>
      <c r="D93" s="2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29.25" customHeight="1" x14ac:dyDescent="0.3">
      <c r="A94" s="10"/>
      <c r="B94" s="6"/>
      <c r="C94" s="92"/>
      <c r="D94" s="2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29.25" customHeight="1" x14ac:dyDescent="0.3">
      <c r="A95" s="10"/>
      <c r="B95" s="6"/>
      <c r="C95" s="92"/>
      <c r="D95" s="2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29.25" customHeight="1" x14ac:dyDescent="0.3">
      <c r="A96" s="10"/>
      <c r="B96" s="6"/>
      <c r="C96" s="92"/>
      <c r="D96" s="2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29.25" customHeight="1" x14ac:dyDescent="0.3">
      <c r="A97" s="10"/>
      <c r="B97" s="6"/>
      <c r="C97" s="92"/>
      <c r="D97" s="2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29.25" customHeight="1" x14ac:dyDescent="0.3">
      <c r="A98" s="10"/>
      <c r="B98" s="6"/>
      <c r="C98" s="92"/>
      <c r="D98" s="2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29.25" customHeight="1" x14ac:dyDescent="0.3">
      <c r="A99" s="10"/>
      <c r="B99" s="6"/>
      <c r="C99" s="92"/>
      <c r="D99" s="2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29.25" customHeight="1" x14ac:dyDescent="0.3">
      <c r="A100" s="10"/>
      <c r="B100" s="6"/>
      <c r="C100" s="92"/>
      <c r="D100" s="2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29.25" customHeight="1" x14ac:dyDescent="0.3">
      <c r="A101" s="10"/>
      <c r="B101" s="6"/>
      <c r="C101" s="92"/>
      <c r="D101" s="2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29.25" customHeight="1" x14ac:dyDescent="0.3">
      <c r="A102" s="10"/>
      <c r="B102" s="6"/>
      <c r="C102" s="92"/>
      <c r="D102" s="2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29.25" customHeight="1" x14ac:dyDescent="0.3">
      <c r="A103" s="10"/>
      <c r="B103" s="6"/>
      <c r="C103" s="92"/>
      <c r="D103" s="2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29.25" customHeight="1" x14ac:dyDescent="0.3">
      <c r="A104" s="10"/>
      <c r="B104" s="6"/>
      <c r="C104" s="92"/>
      <c r="D104" s="2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29.25" customHeight="1" x14ac:dyDescent="0.3">
      <c r="A105" s="10"/>
      <c r="B105" s="6"/>
      <c r="C105" s="92"/>
      <c r="D105" s="2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29.25" customHeight="1" x14ac:dyDescent="0.3">
      <c r="A106" s="10"/>
      <c r="B106" s="6"/>
      <c r="C106" s="92"/>
      <c r="D106" s="2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29.25" customHeight="1" x14ac:dyDescent="0.3">
      <c r="A107" s="10"/>
      <c r="B107" s="6"/>
      <c r="C107" s="92"/>
      <c r="D107" s="2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29.25" customHeight="1" x14ac:dyDescent="0.3">
      <c r="A108" s="10"/>
      <c r="B108" s="6"/>
      <c r="C108" s="92"/>
      <c r="D108" s="2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29.25" customHeight="1" x14ac:dyDescent="0.3">
      <c r="A109" s="10"/>
      <c r="B109" s="6"/>
      <c r="C109" s="92"/>
      <c r="D109" s="2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29.25" customHeight="1" x14ac:dyDescent="0.3">
      <c r="A110" s="10"/>
      <c r="B110" s="6"/>
      <c r="C110" s="92"/>
      <c r="D110" s="2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29.25" customHeight="1" x14ac:dyDescent="0.3">
      <c r="A111" s="10"/>
      <c r="B111" s="6"/>
      <c r="C111" s="92"/>
      <c r="D111" s="2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29.25" customHeight="1" x14ac:dyDescent="0.3">
      <c r="A112" s="10"/>
      <c r="B112" s="6"/>
      <c r="C112" s="92"/>
      <c r="D112" s="2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29.25" customHeight="1" x14ac:dyDescent="0.3">
      <c r="A113" s="10"/>
      <c r="B113" s="6"/>
      <c r="C113" s="92"/>
      <c r="D113" s="2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29.25" customHeight="1" x14ac:dyDescent="0.3">
      <c r="A114" s="10"/>
      <c r="B114" s="6"/>
      <c r="C114" s="92"/>
      <c r="D114" s="2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29.25" customHeight="1" x14ac:dyDescent="0.3">
      <c r="A115" s="10"/>
      <c r="B115" s="6"/>
      <c r="C115" s="92"/>
      <c r="D115" s="2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29.25" customHeight="1" x14ac:dyDescent="0.3">
      <c r="A116" s="10"/>
      <c r="B116" s="6"/>
      <c r="C116" s="92"/>
      <c r="D116" s="2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29.25" customHeight="1" x14ac:dyDescent="0.3">
      <c r="A117" s="10"/>
      <c r="B117" s="6"/>
      <c r="C117" s="92"/>
      <c r="D117" s="2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29.25" customHeight="1" x14ac:dyDescent="0.3">
      <c r="A118" s="10"/>
      <c r="B118" s="6"/>
      <c r="C118" s="92"/>
      <c r="D118" s="2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29.25" customHeight="1" x14ac:dyDescent="0.3">
      <c r="A119" s="10"/>
      <c r="B119" s="6"/>
      <c r="C119" s="92"/>
      <c r="D119" s="2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29.25" customHeight="1" x14ac:dyDescent="0.3">
      <c r="A120" s="10"/>
      <c r="B120" s="6"/>
      <c r="C120" s="92"/>
      <c r="D120" s="2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29.25" customHeight="1" x14ac:dyDescent="0.3">
      <c r="A121" s="10"/>
      <c r="B121" s="6"/>
      <c r="C121" s="92"/>
      <c r="D121" s="2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29.25" customHeight="1" x14ac:dyDescent="0.3">
      <c r="A122" s="10"/>
      <c r="B122" s="6"/>
      <c r="C122" s="92"/>
      <c r="D122" s="2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29.25" customHeight="1" x14ac:dyDescent="0.3">
      <c r="A123" s="10"/>
      <c r="B123" s="6"/>
      <c r="C123" s="92"/>
      <c r="D123" s="2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29.25" customHeight="1" x14ac:dyDescent="0.3">
      <c r="A124" s="10"/>
      <c r="B124" s="6"/>
      <c r="C124" s="92"/>
      <c r="D124" s="2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29.25" customHeight="1" x14ac:dyDescent="0.3">
      <c r="A125" s="10"/>
      <c r="B125" s="6"/>
      <c r="C125" s="92"/>
      <c r="D125" s="26"/>
      <c r="E125" s="6"/>
      <c r="R125" s="6"/>
      <c r="S125" s="6"/>
      <c r="T125" s="6"/>
    </row>
    <row r="126" spans="1:20" ht="29.25" customHeight="1" x14ac:dyDescent="0.3">
      <c r="A126" s="10"/>
      <c r="B126" s="6"/>
      <c r="C126" s="92"/>
      <c r="D126" s="26"/>
      <c r="E126" s="6"/>
      <c r="R126" s="6"/>
      <c r="S126" s="6"/>
      <c r="T126" s="6"/>
    </row>
    <row r="127" spans="1:20" ht="29.25" customHeight="1" x14ac:dyDescent="0.3">
      <c r="A127" s="10"/>
      <c r="B127" s="6"/>
      <c r="C127" s="92"/>
      <c r="D127" s="26"/>
      <c r="E127" s="6"/>
      <c r="R127" s="6"/>
      <c r="S127" s="6"/>
      <c r="T127" s="6"/>
    </row>
    <row r="128" spans="1:20" ht="29.25" customHeight="1" x14ac:dyDescent="0.3">
      <c r="A128" s="10"/>
      <c r="B128" s="6"/>
      <c r="C128" s="92"/>
      <c r="D128" s="26"/>
      <c r="E128" s="6"/>
      <c r="R128" s="6"/>
      <c r="S128" s="6"/>
      <c r="T128" s="6"/>
    </row>
    <row r="129" spans="1:20" ht="29.25" customHeight="1" x14ac:dyDescent="0.3">
      <c r="A129" s="10"/>
      <c r="B129" s="6"/>
      <c r="C129" s="92"/>
      <c r="D129" s="26"/>
      <c r="E129" s="6"/>
      <c r="R129" s="6"/>
      <c r="S129" s="6"/>
      <c r="T129" s="6"/>
    </row>
    <row r="130" spans="1:20" ht="29.25" customHeight="1" x14ac:dyDescent="0.3">
      <c r="A130" s="10"/>
      <c r="B130" s="6"/>
      <c r="C130" s="92"/>
      <c r="D130" s="26"/>
      <c r="E130" s="6"/>
      <c r="R130" s="6"/>
      <c r="S130" s="6"/>
      <c r="T130" s="6"/>
    </row>
  </sheetData>
  <mergeCells count="9">
    <mergeCell ref="J72:N72"/>
    <mergeCell ref="J71:N71"/>
    <mergeCell ref="J73:K73"/>
    <mergeCell ref="J75:K75"/>
    <mergeCell ref="J76:K76"/>
    <mergeCell ref="M73:N73"/>
    <mergeCell ref="M74:N74"/>
    <mergeCell ref="M75:N75"/>
    <mergeCell ref="M76:N7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8B10B-C1EF-431D-B408-6AF8FAA60B52}">
  <dimension ref="A1:T27"/>
  <sheetViews>
    <sheetView workbookViewId="0">
      <selection sqref="A1:XFD27"/>
    </sheetView>
  </sheetViews>
  <sheetFormatPr defaultRowHeight="14.4" x14ac:dyDescent="0.3"/>
  <sheetData>
    <row r="1" spans="1:20" s="2" customFormat="1" ht="29.25" customHeight="1" x14ac:dyDescent="0.3">
      <c r="A1" s="39"/>
      <c r="B1" s="40"/>
      <c r="C1" s="85"/>
      <c r="D1" s="41"/>
      <c r="E1" s="40"/>
      <c r="F1" s="40"/>
      <c r="G1" s="40"/>
      <c r="H1" s="40"/>
      <c r="I1" s="40"/>
      <c r="J1" s="40"/>
      <c r="K1" s="40"/>
      <c r="L1" s="40"/>
      <c r="M1" s="40"/>
      <c r="N1" s="42"/>
      <c r="O1" s="40"/>
      <c r="P1" s="40"/>
      <c r="Q1" s="40"/>
      <c r="R1" s="40"/>
      <c r="S1" s="42"/>
      <c r="T1" s="40"/>
    </row>
    <row r="2" spans="1:20" s="2" customFormat="1" ht="29.25" customHeight="1" x14ac:dyDescent="0.3">
      <c r="A2" s="33">
        <v>52841</v>
      </c>
      <c r="B2" s="36" t="s">
        <v>116</v>
      </c>
      <c r="C2" s="86">
        <v>44931</v>
      </c>
      <c r="D2" s="38">
        <v>2</v>
      </c>
      <c r="E2" s="36">
        <v>381000</v>
      </c>
      <c r="F2" s="36">
        <v>30520</v>
      </c>
      <c r="G2" s="36">
        <v>350480</v>
      </c>
      <c r="H2" s="36">
        <v>63086</v>
      </c>
      <c r="I2" s="36">
        <v>413566</v>
      </c>
      <c r="J2" s="36">
        <v>3505</v>
      </c>
      <c r="K2" s="36">
        <v>17524</v>
      </c>
      <c r="L2" s="36"/>
      <c r="M2" s="36"/>
      <c r="N2" s="44"/>
      <c r="O2" s="59">
        <v>63086</v>
      </c>
      <c r="P2" s="36">
        <v>17524</v>
      </c>
      <c r="Q2" s="36">
        <v>311927</v>
      </c>
      <c r="R2" s="36">
        <v>148500</v>
      </c>
      <c r="S2" s="37" t="s">
        <v>20</v>
      </c>
      <c r="T2" s="36">
        <f>SUM(Q1:Q4)-SUM(R1:R4)</f>
        <v>0</v>
      </c>
    </row>
    <row r="3" spans="1:20" s="2" customFormat="1" ht="29.25" customHeight="1" x14ac:dyDescent="0.3">
      <c r="A3" s="33">
        <v>52841</v>
      </c>
      <c r="B3" s="36" t="s">
        <v>5</v>
      </c>
      <c r="C3" s="86">
        <v>44982</v>
      </c>
      <c r="D3" s="38">
        <v>2</v>
      </c>
      <c r="E3" s="36">
        <v>63086</v>
      </c>
      <c r="F3" s="36"/>
      <c r="G3" s="36"/>
      <c r="H3" s="36"/>
      <c r="I3" s="36"/>
      <c r="J3" s="36"/>
      <c r="K3" s="36"/>
      <c r="L3" s="36"/>
      <c r="M3" s="36"/>
      <c r="N3" s="44"/>
      <c r="O3" s="36"/>
      <c r="P3" s="36"/>
      <c r="Q3" s="59">
        <v>63086</v>
      </c>
      <c r="R3" s="36">
        <v>163427</v>
      </c>
      <c r="S3" s="37" t="s">
        <v>21</v>
      </c>
      <c r="T3" s="36"/>
    </row>
    <row r="4" spans="1:20" s="2" customFormat="1" ht="29.25" customHeight="1" x14ac:dyDescent="0.3">
      <c r="A4" s="33">
        <v>52841</v>
      </c>
      <c r="B4" s="36"/>
      <c r="C4" s="86"/>
      <c r="D4" s="38"/>
      <c r="E4" s="36"/>
      <c r="F4" s="36"/>
      <c r="G4" s="36"/>
      <c r="H4" s="36"/>
      <c r="I4" s="36"/>
      <c r="J4" s="36"/>
      <c r="K4" s="36"/>
      <c r="L4" s="36"/>
      <c r="M4" s="36"/>
      <c r="N4" s="44"/>
      <c r="O4" s="36"/>
      <c r="P4" s="36"/>
      <c r="Q4" s="36"/>
      <c r="R4" s="36">
        <v>63086</v>
      </c>
      <c r="S4" s="37" t="s">
        <v>22</v>
      </c>
      <c r="T4" s="36"/>
    </row>
    <row r="5" spans="1:20" s="2" customFormat="1" ht="29.25" customHeight="1" x14ac:dyDescent="0.3">
      <c r="A5" s="39"/>
      <c r="B5" s="40"/>
      <c r="C5" s="85"/>
      <c r="D5" s="41"/>
      <c r="E5" s="40"/>
      <c r="F5" s="40"/>
      <c r="G5" s="40"/>
      <c r="H5" s="40"/>
      <c r="I5" s="40"/>
      <c r="J5" s="40"/>
      <c r="K5" s="40"/>
      <c r="L5" s="40"/>
      <c r="M5" s="40"/>
      <c r="N5" s="42"/>
      <c r="O5" s="40"/>
      <c r="P5" s="40"/>
      <c r="Q5" s="40"/>
      <c r="R5" s="40"/>
      <c r="S5" s="42"/>
      <c r="T5" s="40"/>
    </row>
    <row r="6" spans="1:20" s="2" customFormat="1" ht="29.25" customHeight="1" x14ac:dyDescent="0.3">
      <c r="A6" s="33">
        <v>52844</v>
      </c>
      <c r="B6" s="36" t="s">
        <v>115</v>
      </c>
      <c r="C6" s="86">
        <v>44931</v>
      </c>
      <c r="D6" s="38">
        <v>1</v>
      </c>
      <c r="E6" s="36">
        <v>381000</v>
      </c>
      <c r="F6" s="36">
        <v>41965</v>
      </c>
      <c r="G6" s="36">
        <v>339035</v>
      </c>
      <c r="H6" s="36">
        <v>61026</v>
      </c>
      <c r="I6" s="36">
        <v>400061</v>
      </c>
      <c r="J6" s="36">
        <v>3390</v>
      </c>
      <c r="K6" s="36">
        <v>16952</v>
      </c>
      <c r="L6" s="36"/>
      <c r="M6" s="36"/>
      <c r="N6" s="44"/>
      <c r="O6" s="59">
        <v>61026</v>
      </c>
      <c r="P6" s="36">
        <v>16952</v>
      </c>
      <c r="Q6" s="36">
        <v>301741</v>
      </c>
      <c r="R6" s="36">
        <v>148500</v>
      </c>
      <c r="S6" s="37" t="s">
        <v>17</v>
      </c>
      <c r="T6" s="36">
        <f>SUM(Q5:Q8)-SUM(R5:R8)</f>
        <v>0</v>
      </c>
    </row>
    <row r="7" spans="1:20" s="2" customFormat="1" ht="29.25" customHeight="1" x14ac:dyDescent="0.3">
      <c r="A7" s="33">
        <v>52844</v>
      </c>
      <c r="B7" s="36" t="s">
        <v>5</v>
      </c>
      <c r="C7" s="86">
        <v>44982</v>
      </c>
      <c r="D7" s="38">
        <v>1</v>
      </c>
      <c r="E7" s="36">
        <v>61026</v>
      </c>
      <c r="F7" s="36"/>
      <c r="G7" s="36"/>
      <c r="H7" s="36"/>
      <c r="I7" s="36"/>
      <c r="J7" s="36"/>
      <c r="K7" s="36"/>
      <c r="L7" s="36"/>
      <c r="M7" s="36"/>
      <c r="N7" s="44"/>
      <c r="O7" s="36"/>
      <c r="P7" s="36"/>
      <c r="Q7" s="59">
        <v>61026</v>
      </c>
      <c r="R7" s="36">
        <v>153241</v>
      </c>
      <c r="S7" s="37" t="s">
        <v>18</v>
      </c>
      <c r="T7" s="36"/>
    </row>
    <row r="8" spans="1:20" s="2" customFormat="1" ht="29.25" customHeight="1" x14ac:dyDescent="0.3">
      <c r="A8" s="33">
        <v>52844</v>
      </c>
      <c r="B8" s="36"/>
      <c r="C8" s="86"/>
      <c r="D8" s="38"/>
      <c r="E8" s="36"/>
      <c r="F8" s="36"/>
      <c r="G8" s="36"/>
      <c r="H8" s="36"/>
      <c r="I8" s="36"/>
      <c r="J8" s="36"/>
      <c r="K8" s="36"/>
      <c r="L8" s="36"/>
      <c r="M8" s="36"/>
      <c r="N8" s="44"/>
      <c r="O8" s="36"/>
      <c r="P8" s="36"/>
      <c r="Q8" s="36"/>
      <c r="R8" s="36">
        <v>61026</v>
      </c>
      <c r="S8" s="37" t="s">
        <v>19</v>
      </c>
      <c r="T8" s="36"/>
    </row>
    <row r="9" spans="1:20" s="2" customFormat="1" ht="29.25" customHeight="1" x14ac:dyDescent="0.3">
      <c r="A9" s="39"/>
      <c r="B9" s="40"/>
      <c r="C9" s="85"/>
      <c r="D9" s="41"/>
      <c r="E9" s="40"/>
      <c r="F9" s="40"/>
      <c r="G9" s="40"/>
      <c r="H9" s="40"/>
      <c r="I9" s="40"/>
      <c r="J9" s="40"/>
      <c r="K9" s="40"/>
      <c r="L9" s="40"/>
      <c r="M9" s="40"/>
      <c r="N9" s="42"/>
      <c r="O9" s="40"/>
      <c r="P9" s="40"/>
      <c r="Q9" s="40"/>
      <c r="R9" s="40"/>
      <c r="S9" s="42"/>
      <c r="T9" s="40"/>
    </row>
    <row r="10" spans="1:20" s="2" customFormat="1" ht="29.25" customHeight="1" x14ac:dyDescent="0.3">
      <c r="A10" s="33">
        <v>54747</v>
      </c>
      <c r="B10" s="36" t="s">
        <v>11</v>
      </c>
      <c r="C10" s="86">
        <v>44960</v>
      </c>
      <c r="D10" s="38">
        <v>3</v>
      </c>
      <c r="E10" s="36">
        <v>228600</v>
      </c>
      <c r="F10" s="36">
        <v>15260</v>
      </c>
      <c r="G10" s="36">
        <f>E10-F10</f>
        <v>213340</v>
      </c>
      <c r="H10" s="36">
        <f>G10*18%</f>
        <v>38401.199999999997</v>
      </c>
      <c r="I10" s="36">
        <f>G10+H10</f>
        <v>251741.2</v>
      </c>
      <c r="J10" s="36">
        <f>G10*1%</f>
        <v>2133.4</v>
      </c>
      <c r="K10" s="36">
        <f>G10*5%</f>
        <v>10667</v>
      </c>
      <c r="L10" s="36"/>
      <c r="M10" s="36"/>
      <c r="N10" s="43">
        <f>G10*5%</f>
        <v>10667</v>
      </c>
      <c r="O10" s="59">
        <f>+H10</f>
        <v>38401.199999999997</v>
      </c>
      <c r="P10" s="36"/>
      <c r="Q10" s="36">
        <f t="shared" ref="Q10" si="0">ROUND(I10-SUM(J10:P10),)</f>
        <v>189873</v>
      </c>
      <c r="R10" s="36">
        <v>148500</v>
      </c>
      <c r="S10" s="37" t="s">
        <v>12</v>
      </c>
      <c r="T10" s="36">
        <f>SUM(Q10:Q14)-SUM(R10:R14)</f>
        <v>0</v>
      </c>
    </row>
    <row r="11" spans="1:20" s="2" customFormat="1" ht="29.25" customHeight="1" x14ac:dyDescent="0.3">
      <c r="A11" s="33">
        <v>54747</v>
      </c>
      <c r="B11" s="36" t="s">
        <v>11</v>
      </c>
      <c r="C11" s="86">
        <v>44995</v>
      </c>
      <c r="D11" s="38">
        <v>4</v>
      </c>
      <c r="E11" s="36">
        <v>152400</v>
      </c>
      <c r="F11" s="36">
        <v>0</v>
      </c>
      <c r="G11" s="36">
        <v>152400</v>
      </c>
      <c r="H11" s="36">
        <v>27432</v>
      </c>
      <c r="I11" s="36">
        <v>179832</v>
      </c>
      <c r="J11" s="36">
        <v>1524</v>
      </c>
      <c r="K11" s="36">
        <v>7620</v>
      </c>
      <c r="L11" s="36"/>
      <c r="M11" s="36"/>
      <c r="N11" s="44">
        <v>7620</v>
      </c>
      <c r="O11" s="59">
        <v>27432</v>
      </c>
      <c r="P11" s="36"/>
      <c r="Q11" s="36">
        <v>135636</v>
      </c>
      <c r="R11" s="36">
        <v>41373</v>
      </c>
      <c r="S11" s="37" t="s">
        <v>13</v>
      </c>
      <c r="T11" s="36"/>
    </row>
    <row r="12" spans="1:20" s="2" customFormat="1" ht="29.25" customHeight="1" x14ac:dyDescent="0.3">
      <c r="A12" s="33">
        <v>54747</v>
      </c>
      <c r="B12" s="36" t="s">
        <v>5</v>
      </c>
      <c r="C12" s="86">
        <v>45002</v>
      </c>
      <c r="D12" s="38">
        <v>3</v>
      </c>
      <c r="E12" s="36">
        <v>38401</v>
      </c>
      <c r="F12" s="36"/>
      <c r="G12" s="36"/>
      <c r="H12" s="36"/>
      <c r="I12" s="36"/>
      <c r="J12" s="36"/>
      <c r="K12" s="36"/>
      <c r="L12" s="36"/>
      <c r="M12" s="36"/>
      <c r="N12" s="44"/>
      <c r="O12" s="36"/>
      <c r="P12" s="36"/>
      <c r="Q12" s="59">
        <v>38401</v>
      </c>
      <c r="R12" s="36">
        <v>135636</v>
      </c>
      <c r="S12" s="37" t="s">
        <v>14</v>
      </c>
      <c r="T12" s="36"/>
    </row>
    <row r="13" spans="1:20" s="2" customFormat="1" ht="29.25" customHeight="1" x14ac:dyDescent="0.3">
      <c r="A13" s="33">
        <v>54747</v>
      </c>
      <c r="B13" s="36" t="s">
        <v>5</v>
      </c>
      <c r="C13" s="86">
        <v>45040</v>
      </c>
      <c r="D13" s="38">
        <v>4</v>
      </c>
      <c r="E13" s="36">
        <v>27432</v>
      </c>
      <c r="F13" s="36"/>
      <c r="G13" s="36"/>
      <c r="H13" s="36"/>
      <c r="I13" s="36"/>
      <c r="J13" s="36"/>
      <c r="K13" s="36"/>
      <c r="L13" s="36"/>
      <c r="M13" s="36"/>
      <c r="N13" s="44"/>
      <c r="O13" s="36"/>
      <c r="P13" s="36"/>
      <c r="Q13" s="59">
        <v>27432</v>
      </c>
      <c r="R13" s="36">
        <v>38401</v>
      </c>
      <c r="S13" s="37" t="s">
        <v>15</v>
      </c>
      <c r="T13" s="36"/>
    </row>
    <row r="14" spans="1:20" s="2" customFormat="1" ht="29.25" customHeight="1" x14ac:dyDescent="0.3">
      <c r="A14" s="33">
        <v>54747</v>
      </c>
      <c r="B14" s="36"/>
      <c r="C14" s="86"/>
      <c r="D14" s="38"/>
      <c r="E14" s="36"/>
      <c r="F14" s="36"/>
      <c r="G14" s="36"/>
      <c r="H14" s="36"/>
      <c r="I14" s="36"/>
      <c r="J14" s="36"/>
      <c r="K14" s="36"/>
      <c r="L14" s="36"/>
      <c r="M14" s="36"/>
      <c r="N14" s="44"/>
      <c r="O14" s="36"/>
      <c r="P14" s="36"/>
      <c r="Q14" s="36"/>
      <c r="R14" s="36">
        <v>27432</v>
      </c>
      <c r="S14" s="37" t="s">
        <v>16</v>
      </c>
      <c r="T14" s="36"/>
    </row>
    <row r="15" spans="1:20" s="2" customFormat="1" ht="29.25" customHeight="1" x14ac:dyDescent="0.3">
      <c r="A15" s="39"/>
      <c r="B15" s="40"/>
      <c r="C15" s="85"/>
      <c r="D15" s="41"/>
      <c r="E15" s="40"/>
      <c r="F15" s="40"/>
      <c r="G15" s="40"/>
      <c r="H15" s="40"/>
      <c r="I15" s="40"/>
      <c r="J15" s="40"/>
      <c r="K15" s="40"/>
      <c r="L15" s="40"/>
      <c r="M15" s="40"/>
      <c r="N15" s="42"/>
      <c r="O15" s="40"/>
      <c r="P15" s="40"/>
      <c r="Q15" s="40"/>
      <c r="R15" s="40"/>
      <c r="S15" s="42"/>
      <c r="T15" s="40"/>
    </row>
    <row r="16" spans="1:20" s="2" customFormat="1" ht="29.25" customHeight="1" x14ac:dyDescent="0.3">
      <c r="A16" s="33">
        <v>55156</v>
      </c>
      <c r="B16" s="36" t="s">
        <v>8</v>
      </c>
      <c r="C16" s="86">
        <v>45031</v>
      </c>
      <c r="D16" s="38">
        <v>1</v>
      </c>
      <c r="E16" s="36">
        <v>275625</v>
      </c>
      <c r="F16" s="36">
        <v>15260</v>
      </c>
      <c r="G16" s="36">
        <f>E16-F16</f>
        <v>260365</v>
      </c>
      <c r="H16" s="36">
        <f>G16*18%</f>
        <v>46865.7</v>
      </c>
      <c r="I16" s="36">
        <f>G16+H16</f>
        <v>307230.7</v>
      </c>
      <c r="J16" s="36">
        <f>G16*1%</f>
        <v>2603.65</v>
      </c>
      <c r="K16" s="36">
        <f>G16*5%</f>
        <v>13018.25</v>
      </c>
      <c r="L16" s="36"/>
      <c r="M16" s="36"/>
      <c r="N16" s="43">
        <f>G16*5%</f>
        <v>13018.25</v>
      </c>
      <c r="O16" s="59">
        <f>+H16</f>
        <v>46865.7</v>
      </c>
      <c r="P16" s="36"/>
      <c r="Q16" s="36">
        <f t="shared" ref="Q16" si="1">ROUND(I16-SUM(J16:P16),)</f>
        <v>231725</v>
      </c>
      <c r="R16" s="36">
        <v>231725</v>
      </c>
      <c r="S16" s="37" t="s">
        <v>9</v>
      </c>
      <c r="T16" s="36">
        <f>SUM(Q16:Q19)-SUM(R16:R19)</f>
        <v>-1</v>
      </c>
    </row>
    <row r="17" spans="1:20" s="2" customFormat="1" ht="29.25" customHeight="1" x14ac:dyDescent="0.3">
      <c r="A17" s="33">
        <v>55156</v>
      </c>
      <c r="B17" s="36" t="s">
        <v>5</v>
      </c>
      <c r="C17" s="86">
        <v>45072</v>
      </c>
      <c r="D17" s="38">
        <v>1</v>
      </c>
      <c r="E17" s="36">
        <v>46866</v>
      </c>
      <c r="F17" s="36"/>
      <c r="G17" s="36"/>
      <c r="H17" s="36"/>
      <c r="I17" s="36"/>
      <c r="J17" s="36"/>
      <c r="K17" s="36"/>
      <c r="L17" s="36"/>
      <c r="M17" s="36"/>
      <c r="N17" s="44"/>
      <c r="O17" s="36"/>
      <c r="P17" s="36"/>
      <c r="Q17" s="59">
        <f>E17</f>
        <v>46866</v>
      </c>
      <c r="R17" s="36">
        <v>46866</v>
      </c>
      <c r="S17" s="37" t="s">
        <v>10</v>
      </c>
      <c r="T17" s="36"/>
    </row>
    <row r="18" spans="1:20" s="2" customFormat="1" ht="29.25" customHeight="1" x14ac:dyDescent="0.3">
      <c r="A18" s="33">
        <v>55156</v>
      </c>
      <c r="B18" s="36"/>
      <c r="C18" s="86">
        <v>45114</v>
      </c>
      <c r="D18" s="38">
        <v>4</v>
      </c>
      <c r="E18" s="36">
        <v>118125</v>
      </c>
      <c r="F18" s="36"/>
      <c r="G18" s="36">
        <f>E18-F18</f>
        <v>118125</v>
      </c>
      <c r="H18" s="36">
        <f>G18*18%</f>
        <v>21262.5</v>
      </c>
      <c r="I18" s="36">
        <f>G18+H18</f>
        <v>139387.5</v>
      </c>
      <c r="J18" s="36">
        <f>G18*1%</f>
        <v>1181.25</v>
      </c>
      <c r="K18" s="36">
        <f>G18*5%</f>
        <v>5906.25</v>
      </c>
      <c r="L18" s="36"/>
      <c r="M18" s="36"/>
      <c r="N18" s="43">
        <f>G18*5%</f>
        <v>5906.25</v>
      </c>
      <c r="O18" s="59">
        <f>+H18</f>
        <v>21262.5</v>
      </c>
      <c r="P18" s="36"/>
      <c r="Q18" s="36">
        <f t="shared" ref="Q18" si="2">ROUND(I18-SUM(J18:P18),)</f>
        <v>105131</v>
      </c>
      <c r="R18" s="36">
        <v>105132</v>
      </c>
      <c r="S18" s="37" t="s">
        <v>41</v>
      </c>
      <c r="T18" s="36"/>
    </row>
    <row r="19" spans="1:20" s="2" customFormat="1" ht="29.25" customHeight="1" x14ac:dyDescent="0.3">
      <c r="A19" s="33">
        <v>55156</v>
      </c>
      <c r="B19" s="36" t="s">
        <v>48</v>
      </c>
      <c r="C19" s="86">
        <v>45132</v>
      </c>
      <c r="D19" s="38">
        <v>4</v>
      </c>
      <c r="E19" s="36">
        <v>21263</v>
      </c>
      <c r="F19" s="36"/>
      <c r="G19" s="36"/>
      <c r="H19" s="36"/>
      <c r="I19" s="36"/>
      <c r="J19" s="36"/>
      <c r="K19" s="36"/>
      <c r="L19" s="36"/>
      <c r="M19" s="36"/>
      <c r="N19" s="44"/>
      <c r="O19" s="36"/>
      <c r="P19" s="36"/>
      <c r="Q19" s="59">
        <f>E19</f>
        <v>21263</v>
      </c>
      <c r="R19" s="36">
        <v>21263</v>
      </c>
      <c r="S19" s="37" t="s">
        <v>42</v>
      </c>
      <c r="T19" s="36"/>
    </row>
    <row r="20" spans="1:20" s="2" customFormat="1" ht="29.25" customHeight="1" x14ac:dyDescent="0.3">
      <c r="A20" s="39"/>
      <c r="B20" s="40"/>
      <c r="C20" s="85"/>
      <c r="D20" s="41"/>
      <c r="E20" s="40"/>
      <c r="F20" s="40"/>
      <c r="G20" s="40">
        <f>E20-F20</f>
        <v>0</v>
      </c>
      <c r="H20" s="40">
        <f>G20*18%</f>
        <v>0</v>
      </c>
      <c r="I20" s="40">
        <f>G20+H20</f>
        <v>0</v>
      </c>
      <c r="J20" s="40">
        <f>G20*$J$6</f>
        <v>0</v>
      </c>
      <c r="K20" s="40"/>
      <c r="L20" s="40"/>
      <c r="M20" s="40"/>
      <c r="N20" s="42"/>
      <c r="O20" s="40"/>
      <c r="P20" s="40"/>
      <c r="Q20" s="40">
        <f>ROUND(I20-SUM(J20:O20),)</f>
        <v>0</v>
      </c>
      <c r="R20" s="40"/>
      <c r="S20" s="42"/>
      <c r="T20" s="40"/>
    </row>
    <row r="21" spans="1:20" s="2" customFormat="1" ht="29.25" customHeight="1" x14ac:dyDescent="0.3">
      <c r="A21" s="33">
        <v>57702</v>
      </c>
      <c r="B21" s="36" t="s">
        <v>108</v>
      </c>
      <c r="C21" s="86">
        <v>45079</v>
      </c>
      <c r="D21" s="38">
        <v>3</v>
      </c>
      <c r="E21" s="36">
        <v>228600</v>
      </c>
      <c r="F21" s="36">
        <v>26705</v>
      </c>
      <c r="G21" s="36">
        <f>E21-F21</f>
        <v>201895</v>
      </c>
      <c r="H21" s="36">
        <f>G21*18%</f>
        <v>36341.1</v>
      </c>
      <c r="I21" s="36">
        <f>G21+H21</f>
        <v>238236.1</v>
      </c>
      <c r="J21" s="36">
        <f>G21*1%</f>
        <v>2018.95</v>
      </c>
      <c r="K21" s="36">
        <f>G21*5%</f>
        <v>10094.75</v>
      </c>
      <c r="L21" s="36"/>
      <c r="M21" s="36"/>
      <c r="N21" s="43">
        <f>G21*5%</f>
        <v>10094.75</v>
      </c>
      <c r="O21" s="59">
        <f>+H21</f>
        <v>36341.1</v>
      </c>
      <c r="P21" s="36"/>
      <c r="Q21" s="36">
        <f t="shared" ref="Q21" si="3">ROUND(I21-SUM(J21:P21),)</f>
        <v>179687</v>
      </c>
      <c r="R21" s="36">
        <v>179686</v>
      </c>
      <c r="S21" s="37" t="s">
        <v>7</v>
      </c>
      <c r="T21" s="36">
        <f>SUM(Q21:Q24)-SUM(R21:R24)</f>
        <v>-3100111655</v>
      </c>
    </row>
    <row r="22" spans="1:20" s="2" customFormat="1" ht="29.25" customHeight="1" x14ac:dyDescent="0.3">
      <c r="A22" s="33">
        <v>57702</v>
      </c>
      <c r="B22" s="34" t="s">
        <v>108</v>
      </c>
      <c r="C22" s="87">
        <v>45114</v>
      </c>
      <c r="D22" s="35">
        <v>5</v>
      </c>
      <c r="E22" s="36">
        <f>(370000+11000)*40%</f>
        <v>152400</v>
      </c>
      <c r="F22" s="36">
        <v>0</v>
      </c>
      <c r="G22" s="36">
        <f>E22-F22</f>
        <v>152400</v>
      </c>
      <c r="H22" s="36">
        <f>ROUND(G22*18%,0)</f>
        <v>27432</v>
      </c>
      <c r="I22" s="36">
        <f>G22+H22</f>
        <v>179832</v>
      </c>
      <c r="J22" s="36">
        <f>ROUND(G22*$J$6,0)</f>
        <v>516636000</v>
      </c>
      <c r="K22" s="36">
        <f>ROUND(G22*$K$6,0)</f>
        <v>2583484800</v>
      </c>
      <c r="L22" s="36"/>
      <c r="M22" s="36"/>
      <c r="N22" s="36">
        <f>G22*10%</f>
        <v>15240</v>
      </c>
      <c r="O22" s="59">
        <v>27432</v>
      </c>
      <c r="P22" s="44"/>
      <c r="Q22" s="36">
        <f>ROUND(I22-SUM(J22:O22),)</f>
        <v>-3099983640</v>
      </c>
      <c r="R22" s="36">
        <v>128016</v>
      </c>
      <c r="S22" s="37" t="s">
        <v>38</v>
      </c>
      <c r="T22" s="36"/>
    </row>
    <row r="23" spans="1:20" s="2" customFormat="1" ht="29.25" customHeight="1" x14ac:dyDescent="0.3">
      <c r="A23" s="33">
        <v>57702</v>
      </c>
      <c r="B23" s="36" t="s">
        <v>48</v>
      </c>
      <c r="C23" s="86">
        <v>45125</v>
      </c>
      <c r="D23" s="38">
        <v>3</v>
      </c>
      <c r="E23" s="36">
        <v>36341</v>
      </c>
      <c r="F23" s="36"/>
      <c r="G23" s="36"/>
      <c r="H23" s="36"/>
      <c r="I23" s="36"/>
      <c r="J23" s="36"/>
      <c r="K23" s="36"/>
      <c r="L23" s="36"/>
      <c r="M23" s="36"/>
      <c r="N23" s="44"/>
      <c r="O23" s="36"/>
      <c r="P23" s="36"/>
      <c r="Q23" s="59">
        <f>E23</f>
        <v>36341</v>
      </c>
      <c r="R23" s="36">
        <v>36341</v>
      </c>
      <c r="S23" s="37" t="s">
        <v>39</v>
      </c>
      <c r="T23" s="36"/>
    </row>
    <row r="24" spans="1:20" s="2" customFormat="1" ht="29.25" customHeight="1" thickBot="1" x14ac:dyDescent="0.35">
      <c r="A24" s="33">
        <v>57702</v>
      </c>
      <c r="B24" s="36" t="s">
        <v>48</v>
      </c>
      <c r="C24" s="86">
        <v>45132</v>
      </c>
      <c r="D24" s="38">
        <v>5</v>
      </c>
      <c r="E24" s="36">
        <v>27432</v>
      </c>
      <c r="F24" s="36"/>
      <c r="G24" s="36"/>
      <c r="H24" s="36"/>
      <c r="I24" s="36"/>
      <c r="J24" s="36"/>
      <c r="K24" s="36"/>
      <c r="L24" s="36"/>
      <c r="M24" s="36"/>
      <c r="N24" s="44"/>
      <c r="O24" s="36"/>
      <c r="P24" s="36"/>
      <c r="Q24" s="59">
        <f>E24</f>
        <v>27432</v>
      </c>
      <c r="R24" s="36">
        <v>27432</v>
      </c>
      <c r="S24" s="37" t="s">
        <v>40</v>
      </c>
      <c r="T24" s="36"/>
    </row>
    <row r="25" spans="1:20" s="2" customFormat="1" ht="29.25" customHeight="1" x14ac:dyDescent="0.3">
      <c r="A25" s="29"/>
      <c r="B25" s="30"/>
      <c r="C25" s="88"/>
      <c r="D25" s="31"/>
      <c r="E25" s="30"/>
      <c r="F25" s="30"/>
      <c r="G25" s="30"/>
      <c r="H25" s="30"/>
      <c r="I25" s="30"/>
      <c r="J25" s="30"/>
      <c r="K25" s="30"/>
      <c r="L25" s="30"/>
      <c r="M25" s="30"/>
      <c r="N25" s="32"/>
      <c r="O25" s="30"/>
      <c r="P25" s="30"/>
      <c r="Q25" s="30"/>
      <c r="R25" s="30"/>
      <c r="S25" s="32"/>
      <c r="T25" s="30"/>
    </row>
    <row r="26" spans="1:20" s="2" customFormat="1" ht="29.25" customHeight="1" x14ac:dyDescent="0.3">
      <c r="A26" s="33">
        <v>57704</v>
      </c>
      <c r="B26" s="34" t="s">
        <v>109</v>
      </c>
      <c r="C26" s="87">
        <v>45077</v>
      </c>
      <c r="D26" s="35">
        <v>2</v>
      </c>
      <c r="E26" s="36">
        <v>434000</v>
      </c>
      <c r="F26" s="36">
        <v>30520</v>
      </c>
      <c r="G26" s="36">
        <f>E26-F26</f>
        <v>403480</v>
      </c>
      <c r="H26" s="36">
        <f>ROUND(G26*18%,0)</f>
        <v>72626</v>
      </c>
      <c r="I26" s="36">
        <f>G26+H26</f>
        <v>476106</v>
      </c>
      <c r="J26" s="36">
        <f>ROUND(G26*$J$6,0)</f>
        <v>1367797200</v>
      </c>
      <c r="K26" s="36">
        <f>ROUND(G26*$K$6,0)</f>
        <v>6839792960</v>
      </c>
      <c r="L26" s="36"/>
      <c r="M26" s="36"/>
      <c r="N26" s="36">
        <f>ROUND(G26*$N$6,0)</f>
        <v>0</v>
      </c>
      <c r="O26" s="59">
        <f>H26</f>
        <v>72626</v>
      </c>
      <c r="P26" s="36">
        <v>36050</v>
      </c>
      <c r="Q26" s="36">
        <f>ROUND(I26-SUM(J26:P26),)</f>
        <v>-8207222730</v>
      </c>
      <c r="R26" s="36">
        <v>323047</v>
      </c>
      <c r="S26" s="37" t="s">
        <v>4</v>
      </c>
      <c r="T26" s="36">
        <f>SUM(Q26:Q27)-SUM(R26:R27)</f>
        <v>-8207545777</v>
      </c>
    </row>
    <row r="27" spans="1:20" s="2" customFormat="1" ht="29.25" customHeight="1" x14ac:dyDescent="0.3">
      <c r="A27" s="33">
        <v>57704</v>
      </c>
      <c r="B27" s="36" t="s">
        <v>5</v>
      </c>
      <c r="C27" s="87">
        <v>45093</v>
      </c>
      <c r="D27" s="38">
        <v>2</v>
      </c>
      <c r="E27" s="36">
        <v>72626</v>
      </c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59">
        <v>72626</v>
      </c>
      <c r="R27" s="36">
        <v>72626</v>
      </c>
      <c r="S27" s="37" t="s">
        <v>6</v>
      </c>
      <c r="T27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2025-06-06T07:11:06Z</dcterms:modified>
</cp:coreProperties>
</file>