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"/>
    </mc:Choice>
  </mc:AlternateContent>
  <xr:revisionPtr revIDLastSave="0" documentId="13_ncr:1_{9B04C059-D02E-4480-ACCD-E3958C406B99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P24" i="1" s="1"/>
  <c r="M22" i="1"/>
  <c r="K22" i="1"/>
  <c r="H22" i="1"/>
  <c r="I22" i="1" s="1"/>
  <c r="G22" i="1"/>
  <c r="J22" i="1" s="1"/>
  <c r="E19" i="1"/>
  <c r="P19" i="1" s="1"/>
  <c r="G18" i="1"/>
  <c r="H18" i="1" s="1"/>
  <c r="N18" i="1" s="1"/>
  <c r="E20" i="1" s="1"/>
  <c r="P20" i="1" s="1"/>
  <c r="F16" i="1"/>
  <c r="G16" i="1" s="1"/>
  <c r="J16" i="1" l="1"/>
  <c r="H16" i="1"/>
  <c r="N16" i="1" s="1"/>
  <c r="E17" i="1" s="1"/>
  <c r="P17" i="1" s="1"/>
  <c r="K16" i="1"/>
  <c r="M16" i="1"/>
  <c r="J18" i="1"/>
  <c r="K18" i="1"/>
  <c r="N22" i="1"/>
  <c r="E23" i="1" s="1"/>
  <c r="P23" i="1" s="1"/>
  <c r="M18" i="1"/>
  <c r="I18" i="1"/>
  <c r="P18" i="1" s="1"/>
  <c r="I16" i="1" l="1"/>
  <c r="P16" i="1" s="1"/>
  <c r="P22" i="1"/>
  <c r="E21" i="1"/>
  <c r="P21" i="1" s="1"/>
  <c r="S15" i="1" l="1"/>
  <c r="E15" i="1"/>
  <c r="G15" i="1" s="1"/>
  <c r="S14" i="1"/>
  <c r="P14" i="1"/>
  <c r="S13" i="1"/>
  <c r="P13" i="1"/>
  <c r="G13" i="1"/>
  <c r="H13" i="1" s="1"/>
  <c r="L13" i="1" s="1"/>
  <c r="E14" i="1" s="1"/>
  <c r="G14" i="1" s="1"/>
  <c r="I14" i="1" s="1"/>
  <c r="N14" i="1" s="1"/>
  <c r="S10" i="1"/>
  <c r="S9" i="1"/>
  <c r="P8" i="1"/>
  <c r="S8" i="1" s="1"/>
  <c r="P7" i="1"/>
  <c r="S7" i="1" s="1"/>
  <c r="J7" i="1"/>
  <c r="H7" i="1"/>
  <c r="I7" i="1" s="1"/>
  <c r="G7" i="1"/>
  <c r="K7" i="1" s="1"/>
  <c r="H15" i="1" l="1"/>
  <c r="I15" i="1" s="1"/>
  <c r="N15" i="1" s="1"/>
  <c r="L7" i="1"/>
  <c r="E8" i="1" s="1"/>
  <c r="G8" i="1" s="1"/>
  <c r="I8" i="1" s="1"/>
  <c r="N8" i="1" s="1"/>
  <c r="K13" i="1"/>
  <c r="I13" i="1"/>
  <c r="N13" i="1" s="1"/>
  <c r="J13" i="1"/>
  <c r="N7" i="1" l="1"/>
</calcChain>
</file>

<file path=xl/sharedStrings.xml><?xml version="1.0" encoding="utf-8"?>
<sst xmlns="http://schemas.openxmlformats.org/spreadsheetml/2006/main" count="60" uniqueCount="52">
  <si>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</si>
  <si>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</si>
  <si>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</si>
  <si>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</si>
  <si>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</si>
  <si>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</si>
  <si>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</si>
  <si>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</si>
  <si>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</si>
  <si>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</si>
  <si>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</si>
  <si>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</si>
  <si>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</si>
  <si>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</si>
  <si>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</si>
  <si>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</si>
  <si>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</si>
  <si>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GST_SD_Amount</t>
  </si>
  <si>
    <t>Hold Amount</t>
  </si>
  <si>
    <t>Final_Amount</t>
  </si>
  <si>
    <t>Payment_Amount</t>
  </si>
  <si>
    <t>TDS_Payment_Amount</t>
  </si>
  <si>
    <t>SD (5%)</t>
  </si>
  <si>
    <t>Advance paid</t>
  </si>
  <si>
    <t>Total_Amount</t>
  </si>
  <si>
    <t>UTR</t>
  </si>
  <si>
    <t>Jalalpur Village Drilling work</t>
  </si>
  <si>
    <t>Ahatagosh Village Drilling work</t>
  </si>
  <si>
    <t xml:space="preserve">Credit Note </t>
  </si>
  <si>
    <t>Aldi Village 325KL 14MTR Sataging work</t>
  </si>
  <si>
    <t>28-04-2023 28-04-2023 NEFT/AXISP00385268801/SPUP23/0334/RAJESH KUMAR GUPTA 990000.00</t>
  </si>
  <si>
    <t>GST Release Note</t>
  </si>
  <si>
    <t>13-07-2023 NEFT/AXISP00406785180/RIUP23/1077/RAJESH KUMAR GU ₹ 5,94,000.00</t>
  </si>
  <si>
    <t>25-01-2024 NEFT/AXISP00464803703/RIUP23/4427/RAJESH KUMAR GUPTA/PUNB0008300 93116.00</t>
  </si>
  <si>
    <t>Excess Hold</t>
  </si>
  <si>
    <t>22-03-2024 NEFT/AXISP00483290484/RIUP23/5248/RAJESH KUMAR GUPTA/PUNB0008300 208600.00</t>
  </si>
  <si>
    <t>16-04-2024 NEFT/AXISP00491829114/RIUP24/0191/RAJESH KUMAR GUPTA/PUNB0008300 693000.00</t>
  </si>
  <si>
    <t>HT</t>
  </si>
  <si>
    <t>1 &amp; 3</t>
  </si>
  <si>
    <t>25-04-2024 NEFT/AXISP00493738069/RIUP24/0275/RAJESH KUMAR GUPTA/PUNB0008300 297000.00</t>
  </si>
  <si>
    <t>09-05-2024 NEFT/AXISP00498702133/RIUP24/0452/RAJESH KUMAR GUPTA/PUNB0008300 42767.00</t>
  </si>
  <si>
    <t>24-05-2024 NEFT/AXISP00502414630/RIUP24/0526/RAJESH KUMAR GUPTA/PUNB0008300 ₹ 2,21,130.00</t>
  </si>
  <si>
    <t>06-06-2024 NEFT/AXISP00506791471/RIUP24/0774/RAJESH KUMAR GUPTA/PUNB0008300 121621.00</t>
  </si>
  <si>
    <t>23-09-2024 NEFT/AXISP00543439506/RIUP24/1898/RAJESH KUMAR GUPTA/PUNB0008300 122850.00</t>
  </si>
  <si>
    <t>Swaroopa &amp; Rajesh</t>
  </si>
  <si>
    <t>06-04-2022 NEFT/AXISP00278182093/RIUP0159/SWAROOPA ENTERPRIS 196000.00</t>
  </si>
  <si>
    <t>17-05-2022 NEFT/AXISP00288580995/RIUP0095/SWAROOPA ENTERPRIS 73500.00</t>
  </si>
  <si>
    <t>10-08-2022 NEFT/AXISP00310655291/RIUP22/468/SWAROOPA ENTERPR 68202.00</t>
  </si>
  <si>
    <t>10-08-2022 NEFT/AXISP00310655292/RIUP22/469/SWAROOPA ENTERPR 82882.00</t>
  </si>
  <si>
    <t>28-04-2022 NEFT/AXISP00283396199/RIUP0042/SWAROOPA ENTERPRIS 147000.00</t>
  </si>
  <si>
    <t>17-05-2022 NEFT/AXISP00288580998/RIUP0092/SWAROOPA ENTERPRIS 98000.00</t>
  </si>
  <si>
    <t>29-06-2022 NEFT/AXISP00298786881/RIUP22/263/SWAROOPA ENTERPR 89315.00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</si>
</sst>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3" tint="0.39997558519241921"/>
      <name val="Comic Sans MS"/>
      <family val="4"/>
    </font>
    <font>
      <sz val="9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9"/>
      <color theme="1"/>
      <name val="Comic Sans MS"/>
      <family val="4"/>
    </font>
    <font>
      <sz val="10"/>
      <color theme="1"/>
      <name val="Times New Roman"/>
      <family val="1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b/>
      <sz val="9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2" borderId="1" xfId="0" applyFont="1" applyFill="1" applyBorder="1"/>
    <xf numFmtId="43" fontId="3" fillId="2" borderId="1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43" fontId="5" fillId="2" borderId="1" xfId="2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43" fontId="6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43" fontId="6" fillId="2" borderId="1" xfId="1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9" fillId="3" borderId="1" xfId="2" applyFont="1" applyFill="1" applyBorder="1" applyAlignment="1">
      <alignment horizontal="center" vertical="center"/>
    </xf>
    <xf numFmtId="43" fontId="2" fillId="3" borderId="1" xfId="2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6" fillId="2" borderId="1" xfId="1" applyNumberFormat="1" applyFont="1" applyFill="1" applyBorder="1" applyAlignment="1">
      <alignment vertical="center"/>
    </xf>
    <xf numFmtId="9" fontId="6" fillId="2" borderId="1" xfId="1" applyNumberFormat="1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5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1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15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3" fontId="6" fillId="4" borderId="1" xfId="1" applyNumberFormat="1" applyFont="1" applyFill="1" applyBorder="1" applyAlignment="1">
      <alignment vertical="center"/>
    </xf>
    <xf numFmtId="2" fontId="6" fillId="4" borderId="1" xfId="1" applyNumberFormat="1" applyFont="1" applyFill="1" applyBorder="1" applyAlignment="1">
      <alignment vertical="center"/>
    </xf>
    <xf numFmtId="0" fontId="0" fillId="4" borderId="1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15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vertical="center"/>
    </xf>
    <xf numFmtId="43" fontId="12" fillId="5" borderId="2" xfId="1" applyNumberFormat="1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2" borderId="0" xfId="0" applyFill="1" applyAlignment="1">
      <alignment vertical="center"/>
    </xf>
    <xf numFmtId="14" fontId="6" fillId="2" borderId="2" xfId="1" applyNumberFormat="1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 wrapText="1"/>
    </xf>
    <xf numFmtId="15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3" fontId="6" fillId="4" borderId="2" xfId="1" applyNumberFormat="1" applyFont="1" applyFill="1" applyBorder="1" applyAlignment="1">
      <alignment vertical="center"/>
    </xf>
    <xf numFmtId="43" fontId="12" fillId="4" borderId="2" xfId="1" applyNumberFormat="1" applyFont="1" applyFill="1" applyBorder="1" applyAlignment="1">
      <alignment vertical="center"/>
    </xf>
    <xf numFmtId="0" fontId="10" fillId="4" borderId="2" xfId="0" applyFont="1" applyFill="1" applyBorder="1" applyAlignment="1">
      <alignment horizontal="center" vertical="center" wrapText="1"/>
    </xf>
    <xf numFmtId="43" fontId="13" fillId="4" borderId="2" xfId="1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</cellXfs>
  <cellStyles count="3">
    <cellStyle name="Comma" xfId="1" builtinId="3"/>
    <cellStyle name="Comma 2" xfId="2" xr:uid="{FB9E0093-54C8-4926-B1C5-B096B86C2AD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topLeftCell="A4" workbookViewId="0">
      <selection activeCell="F14" sqref="F14"/>
    </sheetView>
  </sheetViews>
  <sheetFormatPr defaultRowHeight="14.4" x14ac:dyDescent="0.3"/>
  <cols>
    <col min="2" max="2" width="16.88671875" customWidth="1"/>
    <col min="5" max="5" width="16" customWidth="1"/>
    <col min="6" max="6" width="14.109375" customWidth="1"/>
    <col min="7" max="7" width="12.21875" customWidth="1"/>
    <col min="8" max="8" width="15.21875" customWidth="1"/>
    <col min="9" max="9" width="18.44140625" customWidth="1"/>
    <col min="11" max="11" width="13.44140625" customWidth="1"/>
    <col min="12" max="12" width="11.21875" customWidth="1"/>
    <col min="14" max="14" width="12.6640625" customWidth="1"/>
    <col min="15" max="15" width="32.21875" customWidth="1"/>
    <col min="16" max="16" width="16.77734375" customWidth="1"/>
    <col min="18" max="18" width="15.77734375" customWidth="1"/>
    <col min="19" max="19" width="17.44140625" customWidth="1"/>
    <col min="20" max="20" width="69.21875" customWidth="1"/>
  </cols>
  <sheetData>
    <row r="1" spans="1:20" x14ac:dyDescent="0.3">
      <c r="A1" s="1" t="s">
        <v>0</v>
      </c>
      <c r="B1" s="2" t="s">
        <v>44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8" x14ac:dyDescent="0.3">
      <c r="A2" s="1" t="s">
        <v>1</v>
      </c>
      <c r="B2" s="6" t="s">
        <v>2</v>
      </c>
      <c r="C2" s="2"/>
      <c r="D2" s="7"/>
      <c r="E2" s="3"/>
      <c r="F2" s="3"/>
      <c r="G2" s="8"/>
      <c r="H2" s="5"/>
      <c r="I2" s="8"/>
      <c r="J2" s="9"/>
      <c r="K2" s="9"/>
      <c r="L2" s="9"/>
      <c r="M2" s="9"/>
      <c r="N2" s="9"/>
      <c r="O2" s="9"/>
      <c r="P2" s="9"/>
      <c r="Q2" s="9"/>
      <c r="R2" s="9"/>
      <c r="S2" s="3"/>
      <c r="T2" s="3"/>
    </row>
    <row r="3" spans="1:20" ht="18" x14ac:dyDescent="0.3">
      <c r="A3" s="1" t="s">
        <v>3</v>
      </c>
      <c r="B3" s="6" t="s">
        <v>4</v>
      </c>
      <c r="C3" s="2"/>
      <c r="D3" s="7"/>
      <c r="E3" s="3"/>
      <c r="F3" s="3"/>
      <c r="G3" s="8"/>
      <c r="H3" s="5"/>
      <c r="I3" s="8"/>
      <c r="J3" s="9"/>
      <c r="K3" s="9"/>
      <c r="L3" s="9"/>
      <c r="M3" s="9"/>
      <c r="N3" s="9"/>
      <c r="O3" s="9"/>
      <c r="P3" s="9"/>
      <c r="Q3" s="9"/>
      <c r="R3" s="9"/>
      <c r="S3" s="3"/>
      <c r="T3" s="3"/>
    </row>
    <row r="4" spans="1:20" x14ac:dyDescent="0.3">
      <c r="A4" s="1" t="s">
        <v>5</v>
      </c>
      <c r="B4" s="10" t="s">
        <v>4</v>
      </c>
      <c r="C4" s="9"/>
      <c r="D4" s="9"/>
      <c r="E4" s="9"/>
      <c r="F4" s="9"/>
      <c r="G4" s="9"/>
      <c r="H4" s="11"/>
      <c r="I4" s="11"/>
      <c r="J4" s="9"/>
      <c r="K4" s="9"/>
      <c r="L4" s="3"/>
      <c r="M4" s="3"/>
      <c r="N4" s="3"/>
      <c r="O4" s="12"/>
      <c r="P4" s="12"/>
      <c r="Q4" s="12"/>
      <c r="R4" s="12"/>
      <c r="S4" s="12"/>
      <c r="T4" s="12"/>
    </row>
    <row r="5" spans="1:20" ht="43.2" x14ac:dyDescent="0.3">
      <c r="A5" s="13" t="s">
        <v>6</v>
      </c>
      <c r="B5" s="14" t="s">
        <v>7</v>
      </c>
      <c r="C5" s="15" t="s">
        <v>8</v>
      </c>
      <c r="D5" s="16" t="s">
        <v>9</v>
      </c>
      <c r="E5" s="14" t="s">
        <v>10</v>
      </c>
      <c r="F5" s="14" t="s">
        <v>11</v>
      </c>
      <c r="G5" s="16" t="s">
        <v>12</v>
      </c>
      <c r="H5" s="17" t="s">
        <v>13</v>
      </c>
      <c r="I5" s="18" t="s">
        <v>14</v>
      </c>
      <c r="J5" s="14" t="s">
        <v>15</v>
      </c>
      <c r="K5" s="14" t="s">
        <v>16</v>
      </c>
      <c r="L5" s="14" t="s">
        <v>17</v>
      </c>
      <c r="M5" s="19" t="s">
        <v>18</v>
      </c>
      <c r="N5" s="14" t="s">
        <v>19</v>
      </c>
      <c r="O5" s="14" t="s">
        <v>20</v>
      </c>
      <c r="P5" s="14" t="s">
        <v>21</v>
      </c>
      <c r="Q5" s="19" t="s">
        <v>22</v>
      </c>
      <c r="R5" s="19" t="s">
        <v>23</v>
      </c>
      <c r="S5" s="14" t="s">
        <v>24</v>
      </c>
      <c r="T5" s="14" t="s">
        <v>25</v>
      </c>
    </row>
    <row r="6" spans="1:20" x14ac:dyDescent="0.3">
      <c r="A6" s="20"/>
      <c r="B6" s="11"/>
      <c r="C6" s="11"/>
      <c r="D6" s="21"/>
      <c r="E6" s="11"/>
      <c r="F6" s="11"/>
      <c r="G6" s="11"/>
      <c r="H6" s="22">
        <v>0.18</v>
      </c>
      <c r="I6" s="11"/>
      <c r="J6" s="22">
        <v>0.02</v>
      </c>
      <c r="K6" s="22">
        <v>0.05</v>
      </c>
      <c r="L6" s="22">
        <v>0.18</v>
      </c>
      <c r="M6" s="22"/>
      <c r="N6" s="11"/>
      <c r="O6" s="11"/>
      <c r="P6" s="22">
        <v>0.02</v>
      </c>
      <c r="Q6" s="22">
        <v>0.05</v>
      </c>
      <c r="R6" s="11"/>
      <c r="S6" s="11"/>
      <c r="T6" s="11"/>
    </row>
    <row r="7" spans="1:20" ht="52.8" x14ac:dyDescent="0.3">
      <c r="A7" s="23">
        <v>50367</v>
      </c>
      <c r="B7" s="24" t="s">
        <v>26</v>
      </c>
      <c r="C7" s="25">
        <v>44713</v>
      </c>
      <c r="D7" s="26">
        <v>23</v>
      </c>
      <c r="E7" s="11">
        <v>378905</v>
      </c>
      <c r="F7" s="11"/>
      <c r="G7" s="11">
        <f t="shared" ref="G7:G8" si="0">E7-F7</f>
        <v>378905</v>
      </c>
      <c r="H7" s="11">
        <f>ROUND(G7*18%,0)-1</f>
        <v>68202</v>
      </c>
      <c r="I7" s="11">
        <f t="shared" ref="I7:I8" si="1">G7+H7</f>
        <v>447107</v>
      </c>
      <c r="J7" s="11">
        <f>G7*J6</f>
        <v>7578.1</v>
      </c>
      <c r="K7" s="11">
        <f>G7*5%</f>
        <v>18945.25</v>
      </c>
      <c r="L7" s="11">
        <f>H7</f>
        <v>68202</v>
      </c>
      <c r="M7" s="11"/>
      <c r="N7" s="27">
        <f>ROUND(I7-SUM(J7:L7),0)</f>
        <v>352382</v>
      </c>
      <c r="O7" s="11">
        <v>200000</v>
      </c>
      <c r="P7" s="11">
        <f>$P$6*O7</f>
        <v>4000</v>
      </c>
      <c r="Q7" s="11"/>
      <c r="R7" s="11"/>
      <c r="S7" s="11">
        <f>ROUND(O7-P7-Q7-R7,0)</f>
        <v>196000</v>
      </c>
      <c r="T7" s="28" t="s">
        <v>45</v>
      </c>
    </row>
    <row r="8" spans="1:20" ht="52.8" x14ac:dyDescent="0.3">
      <c r="A8" s="23">
        <v>50367</v>
      </c>
      <c r="B8" s="24" t="s">
        <v>26</v>
      </c>
      <c r="C8" s="25">
        <v>44765</v>
      </c>
      <c r="D8" s="24">
        <v>10</v>
      </c>
      <c r="E8" s="11">
        <f>L7</f>
        <v>68202</v>
      </c>
      <c r="F8" s="11"/>
      <c r="G8" s="11">
        <f t="shared" si="0"/>
        <v>68202</v>
      </c>
      <c r="H8" s="11"/>
      <c r="I8" s="11">
        <f t="shared" si="1"/>
        <v>68202</v>
      </c>
      <c r="J8" s="11"/>
      <c r="K8" s="11"/>
      <c r="L8" s="11"/>
      <c r="M8" s="11"/>
      <c r="N8" s="27">
        <f>I8-SUM(J8:L8)</f>
        <v>68202</v>
      </c>
      <c r="O8" s="11">
        <v>75000</v>
      </c>
      <c r="P8" s="11">
        <f>$P$6*O8</f>
        <v>1500</v>
      </c>
      <c r="Q8" s="11"/>
      <c r="R8" s="11"/>
      <c r="S8" s="11">
        <f>ROUND(O8-P8-Q8-R8,0)</f>
        <v>73500</v>
      </c>
      <c r="T8" s="28" t="s">
        <v>46</v>
      </c>
    </row>
    <row r="9" spans="1:20" x14ac:dyDescent="0.3">
      <c r="A9" s="23">
        <v>50367</v>
      </c>
      <c r="B9" s="3"/>
      <c r="C9" s="3"/>
      <c r="D9" s="3"/>
      <c r="E9" s="3"/>
      <c r="F9" s="3"/>
      <c r="G9" s="3"/>
      <c r="H9" s="5"/>
      <c r="I9" s="5"/>
      <c r="J9" s="3"/>
      <c r="K9" s="3"/>
      <c r="L9" s="3"/>
      <c r="M9" s="3"/>
      <c r="N9" s="3"/>
      <c r="O9" s="11">
        <v>68202</v>
      </c>
      <c r="P9" s="11"/>
      <c r="Q9" s="11"/>
      <c r="R9" s="11"/>
      <c r="S9" s="11">
        <f>ROUND(O9-P9-Q9-R9,0)</f>
        <v>68202</v>
      </c>
      <c r="T9" s="28" t="s">
        <v>47</v>
      </c>
    </row>
    <row r="10" spans="1:20" x14ac:dyDescent="0.3">
      <c r="A10" s="23">
        <v>50367</v>
      </c>
      <c r="B10" s="3"/>
      <c r="C10" s="3"/>
      <c r="D10" s="3"/>
      <c r="E10" s="3"/>
      <c r="F10" s="3"/>
      <c r="G10" s="3"/>
      <c r="H10" s="5"/>
      <c r="I10" s="5"/>
      <c r="J10" s="3"/>
      <c r="K10" s="3"/>
      <c r="L10" s="3"/>
      <c r="M10" s="3"/>
      <c r="N10" s="3"/>
      <c r="O10" s="11">
        <v>82882</v>
      </c>
      <c r="P10" s="11"/>
      <c r="Q10" s="11"/>
      <c r="R10" s="11"/>
      <c r="S10" s="11">
        <f>ROUND(O10-P10-Q10-R10,0)</f>
        <v>82882</v>
      </c>
      <c r="T10" s="28" t="s">
        <v>48</v>
      </c>
    </row>
    <row r="11" spans="1:20" x14ac:dyDescent="0.3">
      <c r="A11" s="23">
        <v>50367</v>
      </c>
      <c r="B11" s="3"/>
      <c r="C11" s="3"/>
      <c r="D11" s="3"/>
      <c r="E11" s="3"/>
      <c r="F11" s="3"/>
      <c r="G11" s="3"/>
      <c r="H11" s="5"/>
      <c r="I11" s="5"/>
      <c r="J11" s="3"/>
      <c r="K11" s="3"/>
      <c r="L11" s="3"/>
      <c r="M11" s="3"/>
      <c r="N11" s="3"/>
      <c r="O11" s="11"/>
      <c r="P11" s="11"/>
      <c r="Q11" s="11"/>
      <c r="R11" s="11"/>
      <c r="S11" s="11"/>
      <c r="T11" s="28"/>
    </row>
    <row r="12" spans="1:20" x14ac:dyDescent="0.3">
      <c r="A12" s="23">
        <v>50621</v>
      </c>
      <c r="B12" s="3"/>
      <c r="C12" s="3"/>
      <c r="D12" s="3"/>
      <c r="E12" s="3"/>
      <c r="F12" s="3"/>
      <c r="G12" s="3"/>
      <c r="H12" s="5"/>
      <c r="I12" s="5"/>
      <c r="J12" s="3"/>
      <c r="K12" s="3"/>
      <c r="L12" s="3"/>
      <c r="M12" s="3"/>
      <c r="N12" s="3"/>
      <c r="O12" s="11"/>
      <c r="P12" s="11"/>
      <c r="Q12" s="11"/>
      <c r="R12" s="11"/>
      <c r="S12" s="11"/>
      <c r="T12" s="28"/>
    </row>
    <row r="13" spans="1:20" ht="52.8" x14ac:dyDescent="0.3">
      <c r="A13" s="23">
        <v>50621</v>
      </c>
      <c r="B13" s="24" t="s">
        <v>27</v>
      </c>
      <c r="C13" s="25">
        <v>44720</v>
      </c>
      <c r="D13" s="26">
        <v>26</v>
      </c>
      <c r="E13" s="11">
        <v>378905</v>
      </c>
      <c r="F13" s="11">
        <v>19426</v>
      </c>
      <c r="G13" s="11">
        <f>E13-F13</f>
        <v>359479</v>
      </c>
      <c r="H13" s="11">
        <f>ROUND(G13*18%,0)</f>
        <v>64706</v>
      </c>
      <c r="I13" s="11">
        <f>G13+H13</f>
        <v>424185</v>
      </c>
      <c r="J13" s="11">
        <f>G13*J6</f>
        <v>7189.58</v>
      </c>
      <c r="K13" s="11">
        <f>G13*5%</f>
        <v>17973.95</v>
      </c>
      <c r="L13" s="11">
        <f>H13</f>
        <v>64706</v>
      </c>
      <c r="M13" s="11"/>
      <c r="N13" s="27">
        <f>ROUND(I13-SUM(J13:L13),0)</f>
        <v>334315</v>
      </c>
      <c r="O13" s="11">
        <v>150000</v>
      </c>
      <c r="P13" s="11">
        <f>$P$6*O13</f>
        <v>3000</v>
      </c>
      <c r="Q13" s="11"/>
      <c r="R13" s="11"/>
      <c r="S13" s="11">
        <f t="shared" ref="S13" si="2">O13-P13</f>
        <v>147000</v>
      </c>
      <c r="T13" s="28" t="s">
        <v>49</v>
      </c>
    </row>
    <row r="14" spans="1:20" ht="52.8" x14ac:dyDescent="0.3">
      <c r="A14" s="23">
        <v>50621</v>
      </c>
      <c r="B14" s="24" t="s">
        <v>27</v>
      </c>
      <c r="C14" s="25">
        <v>44765</v>
      </c>
      <c r="D14" s="26">
        <v>9</v>
      </c>
      <c r="E14" s="11">
        <f>L13</f>
        <v>64706</v>
      </c>
      <c r="F14" s="11"/>
      <c r="G14" s="11">
        <f>E14-F14</f>
        <v>64706</v>
      </c>
      <c r="H14" s="11"/>
      <c r="I14" s="11">
        <f>G14+H14</f>
        <v>64706</v>
      </c>
      <c r="J14" s="11"/>
      <c r="K14" s="11"/>
      <c r="L14" s="11"/>
      <c r="M14" s="11"/>
      <c r="N14" s="27">
        <f>I14-SUM(J14:L14)</f>
        <v>64706</v>
      </c>
      <c r="O14" s="11">
        <v>100000</v>
      </c>
      <c r="P14" s="11">
        <f>$P$6*O14</f>
        <v>2000</v>
      </c>
      <c r="Q14" s="11"/>
      <c r="R14" s="11"/>
      <c r="S14" s="11">
        <f>O14-P14-Q14-R14</f>
        <v>98000</v>
      </c>
      <c r="T14" s="28" t="s">
        <v>50</v>
      </c>
    </row>
    <row r="15" spans="1:20" ht="26.4" x14ac:dyDescent="0.3">
      <c r="A15" s="29">
        <v>50621</v>
      </c>
      <c r="B15" s="30" t="s">
        <v>28</v>
      </c>
      <c r="C15" s="31"/>
      <c r="D15" s="32">
        <v>9</v>
      </c>
      <c r="E15" s="33">
        <f>-2.13*150</f>
        <v>-319.5</v>
      </c>
      <c r="F15" s="33"/>
      <c r="G15" s="33">
        <f>E15-F15</f>
        <v>-319.5</v>
      </c>
      <c r="H15" s="33">
        <f t="shared" ref="H15" si="3">ROUND(G15*18%,0)</f>
        <v>-58</v>
      </c>
      <c r="I15" s="33">
        <f>G15+H15</f>
        <v>-377.5</v>
      </c>
      <c r="J15" s="33"/>
      <c r="K15" s="33"/>
      <c r="L15" s="33"/>
      <c r="M15" s="33"/>
      <c r="N15" s="34">
        <f>ROUND(I15-SUM(J15:L15),2)</f>
        <v>-377.5</v>
      </c>
      <c r="O15" s="33">
        <v>89315</v>
      </c>
      <c r="P15" s="33"/>
      <c r="Q15" s="33"/>
      <c r="R15" s="33"/>
      <c r="S15" s="33">
        <f>ROUND(O15-P15-Q15-R15,0)</f>
        <v>89315</v>
      </c>
      <c r="T15" s="35" t="s">
        <v>51</v>
      </c>
    </row>
    <row r="16" spans="1:20" s="44" customFormat="1" ht="24.9" customHeight="1" x14ac:dyDescent="0.3">
      <c r="A16" s="36">
        <v>56837</v>
      </c>
      <c r="B16" s="37" t="s">
        <v>29</v>
      </c>
      <c r="C16" s="38">
        <v>45122</v>
      </c>
      <c r="D16" s="39">
        <v>1</v>
      </c>
      <c r="E16" s="40">
        <v>1638000</v>
      </c>
      <c r="F16" s="40">
        <f>492751.32+34930</f>
        <v>527681.32000000007</v>
      </c>
      <c r="G16" s="40">
        <f>E16-F16</f>
        <v>1110318.68</v>
      </c>
      <c r="H16" s="40">
        <f>G16*H14</f>
        <v>0</v>
      </c>
      <c r="I16" s="40">
        <f>G16+H16</f>
        <v>1110318.68</v>
      </c>
      <c r="J16" s="40">
        <f>G16*J14</f>
        <v>0</v>
      </c>
      <c r="K16" s="40">
        <f>G16*K14</f>
        <v>0</v>
      </c>
      <c r="L16" s="40"/>
      <c r="M16" s="41">
        <f>G16*M14</f>
        <v>0</v>
      </c>
      <c r="N16" s="41">
        <f>H16</f>
        <v>0</v>
      </c>
      <c r="O16" s="40"/>
      <c r="P16" s="40">
        <f>I16-SUM(J16:N16)</f>
        <v>1110318.68</v>
      </c>
      <c r="Q16" s="42"/>
      <c r="S16" s="40">
        <v>990000</v>
      </c>
      <c r="T16" s="43" t="s">
        <v>30</v>
      </c>
    </row>
    <row r="17" spans="1:20" s="44" customFormat="1" ht="24.9" customHeight="1" x14ac:dyDescent="0.3">
      <c r="A17" s="36">
        <v>56837</v>
      </c>
      <c r="B17" s="40" t="s">
        <v>31</v>
      </c>
      <c r="C17" s="45"/>
      <c r="D17" s="39">
        <v>1</v>
      </c>
      <c r="E17" s="40">
        <f>N16</f>
        <v>0</v>
      </c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1">
        <f>E17</f>
        <v>0</v>
      </c>
      <c r="Q17" s="42"/>
      <c r="S17" s="40">
        <v>594000</v>
      </c>
      <c r="T17" s="43" t="s">
        <v>32</v>
      </c>
    </row>
    <row r="18" spans="1:20" s="44" customFormat="1" ht="24.9" customHeight="1" x14ac:dyDescent="0.3">
      <c r="A18" s="36">
        <v>56837</v>
      </c>
      <c r="B18" s="37" t="s">
        <v>29</v>
      </c>
      <c r="C18" s="38">
        <v>45272</v>
      </c>
      <c r="D18" s="39">
        <v>3</v>
      </c>
      <c r="E18" s="40">
        <v>1228500</v>
      </c>
      <c r="F18" s="40">
        <v>711190</v>
      </c>
      <c r="G18" s="40">
        <f>E18-F18</f>
        <v>517310</v>
      </c>
      <c r="H18" s="40">
        <f>G18*18%</f>
        <v>93115.8</v>
      </c>
      <c r="I18" s="40">
        <f>G18+H18</f>
        <v>610425.80000000005</v>
      </c>
      <c r="J18" s="40">
        <f>G18*1%</f>
        <v>5173.1000000000004</v>
      </c>
      <c r="K18" s="40">
        <f>G18*5%</f>
        <v>25865.5</v>
      </c>
      <c r="L18" s="40"/>
      <c r="M18" s="41">
        <f>G18*10%</f>
        <v>51731</v>
      </c>
      <c r="N18" s="41">
        <f>H18</f>
        <v>93115.8</v>
      </c>
      <c r="O18" s="41">
        <v>208600</v>
      </c>
      <c r="P18" s="40">
        <f>I18-SUM(J18:O18)</f>
        <v>225940.40000000002</v>
      </c>
      <c r="Q18" s="42"/>
      <c r="S18" s="40">
        <v>93116</v>
      </c>
      <c r="T18" s="43" t="s">
        <v>33</v>
      </c>
    </row>
    <row r="19" spans="1:20" s="54" customFormat="1" ht="24.9" customHeight="1" x14ac:dyDescent="0.3">
      <c r="A19" s="46">
        <v>56837</v>
      </c>
      <c r="B19" s="47" t="s">
        <v>34</v>
      </c>
      <c r="C19" s="48"/>
      <c r="D19" s="49">
        <v>3</v>
      </c>
      <c r="E19" s="50">
        <f>O18</f>
        <v>208600</v>
      </c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1">
        <f>E19</f>
        <v>208600</v>
      </c>
      <c r="Q19" s="52"/>
      <c r="S19" s="53">
        <v>208600</v>
      </c>
      <c r="T19" s="46" t="s">
        <v>35</v>
      </c>
    </row>
    <row r="20" spans="1:20" s="44" customFormat="1" ht="24.9" customHeight="1" x14ac:dyDescent="0.3">
      <c r="A20" s="36">
        <v>56837</v>
      </c>
      <c r="B20" s="37" t="s">
        <v>31</v>
      </c>
      <c r="C20" s="38"/>
      <c r="D20" s="39">
        <v>3</v>
      </c>
      <c r="E20" s="40">
        <f>N18</f>
        <v>93115.8</v>
      </c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1">
        <f>E20</f>
        <v>93115.8</v>
      </c>
      <c r="Q20" s="42"/>
      <c r="S20" s="40">
        <v>693000</v>
      </c>
      <c r="T20" s="43" t="s">
        <v>36</v>
      </c>
    </row>
    <row r="21" spans="1:20" s="54" customFormat="1" ht="24.9" customHeight="1" x14ac:dyDescent="0.3">
      <c r="A21" s="46">
        <v>56837</v>
      </c>
      <c r="B21" s="47" t="s">
        <v>37</v>
      </c>
      <c r="C21" s="48"/>
      <c r="D21" s="49" t="s">
        <v>38</v>
      </c>
      <c r="E21" s="50">
        <f>M16+M18</f>
        <v>51731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1">
        <f>E21</f>
        <v>51731</v>
      </c>
      <c r="Q21" s="52"/>
      <c r="S21" s="50">
        <v>297000</v>
      </c>
      <c r="T21" s="46" t="s">
        <v>39</v>
      </c>
    </row>
    <row r="22" spans="1:20" s="44" customFormat="1" ht="24.9" customHeight="1" x14ac:dyDescent="0.3">
      <c r="A22" s="36">
        <v>56837</v>
      </c>
      <c r="B22" s="37" t="s">
        <v>29</v>
      </c>
      <c r="C22" s="38">
        <v>45272</v>
      </c>
      <c r="D22" s="39">
        <v>5</v>
      </c>
      <c r="E22" s="40">
        <v>1228500</v>
      </c>
      <c r="F22" s="40">
        <v>0</v>
      </c>
      <c r="G22" s="40">
        <f>E22-F22</f>
        <v>1228500</v>
      </c>
      <c r="H22" s="40">
        <f>G22*18%</f>
        <v>221130</v>
      </c>
      <c r="I22" s="40">
        <f>G22+H22</f>
        <v>1449630</v>
      </c>
      <c r="J22" s="40">
        <f>G22*1%</f>
        <v>12285</v>
      </c>
      <c r="K22" s="40">
        <f>G22*5%</f>
        <v>61425</v>
      </c>
      <c r="L22" s="40"/>
      <c r="M22" s="41">
        <f>3%*A17</f>
        <v>1705.11</v>
      </c>
      <c r="N22" s="41">
        <f>H22</f>
        <v>221130</v>
      </c>
      <c r="O22" s="40">
        <v>0</v>
      </c>
      <c r="P22" s="40">
        <f>I22-SUM(J22:O22)</f>
        <v>1153084.8900000001</v>
      </c>
      <c r="Q22" s="42"/>
      <c r="S22" s="40">
        <v>42767</v>
      </c>
      <c r="T22" s="43" t="s">
        <v>40</v>
      </c>
    </row>
    <row r="23" spans="1:20" s="44" customFormat="1" ht="24.9" customHeight="1" x14ac:dyDescent="0.3">
      <c r="A23" s="36">
        <v>56837</v>
      </c>
      <c r="B23" s="37" t="s">
        <v>31</v>
      </c>
      <c r="C23" s="38"/>
      <c r="D23" s="39">
        <v>5</v>
      </c>
      <c r="E23" s="40">
        <f>N22</f>
        <v>221130</v>
      </c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1">
        <f>E23</f>
        <v>221130</v>
      </c>
      <c r="Q23" s="42"/>
      <c r="S23" s="40">
        <v>221130</v>
      </c>
      <c r="T23" s="43" t="s">
        <v>41</v>
      </c>
    </row>
    <row r="24" spans="1:20" s="54" customFormat="1" ht="24.9" customHeight="1" x14ac:dyDescent="0.3">
      <c r="A24" s="46">
        <v>56837</v>
      </c>
      <c r="B24" s="47" t="s">
        <v>34</v>
      </c>
      <c r="C24" s="48"/>
      <c r="D24" s="49">
        <v>5</v>
      </c>
      <c r="E24" s="50">
        <f>M22</f>
        <v>1705.11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1">
        <f>E24</f>
        <v>1705.11</v>
      </c>
      <c r="Q24" s="52"/>
      <c r="S24" s="50">
        <v>121621</v>
      </c>
      <c r="T24" s="46" t="s">
        <v>42</v>
      </c>
    </row>
    <row r="25" spans="1:20" s="44" customFormat="1" ht="24.9" customHeight="1" x14ac:dyDescent="0.3">
      <c r="A25" s="36">
        <v>56837</v>
      </c>
      <c r="B25" s="37"/>
      <c r="C25" s="38"/>
      <c r="D25" s="39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2"/>
      <c r="S25" s="40">
        <v>122850</v>
      </c>
      <c r="T25" s="4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2025-06-19T08:02:05Z</dcterms:modified>
</cp:coreProperties>
</file>