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Excel 1\Excel\"/>
    </mc:Choice>
  </mc:AlternateContent>
  <xr:revisionPtr revIDLastSave="0" documentId="13_ncr:1_{A52F1F19-F052-4DC8-ABED-DC81B1E1AC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Sheet1!$A$1:$W$108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2" l="1"/>
  <c r="L18" i="2"/>
  <c r="O71" i="1" l="1"/>
  <c r="O67" i="1"/>
  <c r="O61" i="1"/>
  <c r="O58" i="1"/>
  <c r="O55" i="1"/>
  <c r="O50" i="1"/>
  <c r="O45" i="1"/>
  <c r="O41" i="1"/>
  <c r="O36" i="1"/>
  <c r="O28" i="1"/>
  <c r="O21" i="1"/>
  <c r="N31" i="1"/>
  <c r="E20" i="1"/>
  <c r="G20" i="1" s="1"/>
  <c r="O13" i="1"/>
  <c r="O10" i="1"/>
  <c r="O7" i="1"/>
  <c r="L20" i="1" l="1"/>
  <c r="K20" i="1"/>
  <c r="H20" i="1"/>
  <c r="M20" i="1" s="1"/>
  <c r="J20" i="1"/>
  <c r="O97" i="1"/>
  <c r="U90" i="1"/>
  <c r="G90" i="1"/>
  <c r="O89" i="1"/>
  <c r="I20" i="1" l="1"/>
  <c r="N20" i="1" s="1"/>
  <c r="K90" i="1"/>
  <c r="J90" i="1"/>
  <c r="L90" i="1"/>
  <c r="H90" i="1"/>
  <c r="M90" i="1" s="1"/>
  <c r="I90" i="1" l="1"/>
  <c r="N90" i="1" s="1"/>
  <c r="U79" i="1" l="1"/>
  <c r="R33" i="1"/>
  <c r="G60" i="1"/>
  <c r="J60" i="1" s="1"/>
  <c r="E99" i="1"/>
  <c r="G99" i="1" s="1"/>
  <c r="U98" i="1"/>
  <c r="E98" i="1"/>
  <c r="G98" i="1" s="1"/>
  <c r="J98" i="1" s="1"/>
  <c r="L60" i="1" l="1"/>
  <c r="K60" i="1"/>
  <c r="H60" i="1"/>
  <c r="M60" i="1" s="1"/>
  <c r="K99" i="1"/>
  <c r="H99" i="1"/>
  <c r="M99" i="1" s="1"/>
  <c r="J99" i="1"/>
  <c r="K98" i="1"/>
  <c r="H98" i="1"/>
  <c r="M98" i="1" s="1"/>
  <c r="L98" i="1"/>
  <c r="N54" i="1"/>
  <c r="I60" i="1" l="1"/>
  <c r="N60" i="1" s="1"/>
  <c r="I98" i="1"/>
  <c r="N98" i="1" s="1"/>
  <c r="I99" i="1"/>
  <c r="N99" i="1" s="1"/>
  <c r="G57" i="1"/>
  <c r="I57" i="1" s="1"/>
  <c r="N57" i="1" s="1"/>
  <c r="N40" i="1" l="1"/>
  <c r="M40" i="1"/>
  <c r="L40" i="1"/>
  <c r="K40" i="1"/>
  <c r="J40" i="1"/>
  <c r="H40" i="1"/>
  <c r="I40" i="1" l="1"/>
  <c r="U95" i="1"/>
  <c r="G80" i="1" l="1"/>
  <c r="U82" i="1"/>
  <c r="R81" i="1"/>
  <c r="G73" i="1"/>
  <c r="L73" i="1" s="1"/>
  <c r="U73" i="1"/>
  <c r="R68" i="1"/>
  <c r="U68" i="1" s="1"/>
  <c r="U69" i="1"/>
  <c r="U70" i="1"/>
  <c r="U66" i="1"/>
  <c r="G44" i="1"/>
  <c r="L44" i="1" s="1"/>
  <c r="U43" i="1"/>
  <c r="U44" i="1"/>
  <c r="R26" i="1"/>
  <c r="U23" i="1"/>
  <c r="U22" i="1"/>
  <c r="H17" i="1"/>
  <c r="E16" i="1"/>
  <c r="G16" i="1" s="1"/>
  <c r="H16" i="1" s="1"/>
  <c r="M16" i="1" s="1"/>
  <c r="E19" i="1" s="1"/>
  <c r="N17" i="1"/>
  <c r="O93" i="1"/>
  <c r="O87" i="1"/>
  <c r="O85" i="1"/>
  <c r="O83" i="1"/>
  <c r="O78" i="1"/>
  <c r="O76" i="1"/>
  <c r="O74" i="1"/>
  <c r="N19" i="1" l="1"/>
  <c r="H19" i="1"/>
  <c r="L80" i="1"/>
  <c r="J80" i="1"/>
  <c r="H80" i="1"/>
  <c r="M80" i="1" s="1"/>
  <c r="K80" i="1"/>
  <c r="H73" i="1"/>
  <c r="M73" i="1" s="1"/>
  <c r="J73" i="1"/>
  <c r="K73" i="1"/>
  <c r="H44" i="1"/>
  <c r="M44" i="1" s="1"/>
  <c r="J44" i="1"/>
  <c r="K44" i="1"/>
  <c r="L16" i="1"/>
  <c r="J16" i="1"/>
  <c r="I16" i="1"/>
  <c r="I80" i="1" l="1"/>
  <c r="N80" i="1" s="1"/>
  <c r="I73" i="1"/>
  <c r="N73" i="1" s="1"/>
  <c r="I44" i="1"/>
  <c r="N44" i="1" s="1"/>
  <c r="N16" i="1"/>
  <c r="U94" i="1"/>
  <c r="F95" i="1"/>
  <c r="E95" i="1"/>
  <c r="G94" i="1"/>
  <c r="J94" i="1" s="1"/>
  <c r="G95" i="1" l="1"/>
  <c r="J95" i="1" s="1"/>
  <c r="H94" i="1"/>
  <c r="M94" i="1" s="1"/>
  <c r="K94" i="1"/>
  <c r="H95" i="1" l="1"/>
  <c r="M95" i="1" s="1"/>
  <c r="K95" i="1"/>
  <c r="I94" i="1"/>
  <c r="N94" i="1" s="1"/>
  <c r="I95" i="1" l="1"/>
  <c r="N95" i="1" s="1"/>
  <c r="G63" i="1"/>
  <c r="L63" i="1" s="1"/>
  <c r="H63" i="1" l="1"/>
  <c r="M63" i="1" s="1"/>
  <c r="J63" i="1"/>
  <c r="K63" i="1"/>
  <c r="I63" i="1" l="1"/>
  <c r="N63" i="1" s="1"/>
  <c r="R65" i="1" l="1"/>
  <c r="U65" i="1" s="1"/>
  <c r="G33" i="1" l="1"/>
  <c r="K33" i="1" s="1"/>
  <c r="H33" i="1" l="1"/>
  <c r="M33" i="1" s="1"/>
  <c r="J33" i="1"/>
  <c r="L33" i="1"/>
  <c r="G48" i="1"/>
  <c r="H48" i="1" l="1"/>
  <c r="I48" i="1" s="1"/>
  <c r="J48" i="1"/>
  <c r="K48" i="1"/>
  <c r="L48" i="1"/>
  <c r="M48" i="1"/>
  <c r="I33" i="1"/>
  <c r="N33" i="1" s="1"/>
  <c r="N48" i="1" l="1"/>
  <c r="U88" i="1"/>
  <c r="E88" i="1"/>
  <c r="G88" i="1" s="1"/>
  <c r="H88" i="1" s="1"/>
  <c r="J88" i="1" l="1"/>
  <c r="K88" i="1"/>
  <c r="L88" i="1"/>
  <c r="M88" i="1"/>
  <c r="I88" i="1" l="1"/>
  <c r="N88" i="1" s="1"/>
  <c r="U86" i="1" l="1"/>
  <c r="E86" i="1"/>
  <c r="G86" i="1" s="1"/>
  <c r="H86" i="1" s="1"/>
  <c r="M86" i="1" s="1"/>
  <c r="I86" i="1" l="1"/>
  <c r="N86" i="1" s="1"/>
  <c r="U84" i="1" l="1"/>
  <c r="G84" i="1"/>
  <c r="L84" i="1" s="1"/>
  <c r="H84" i="1" l="1"/>
  <c r="M84" i="1" s="1"/>
  <c r="I84" i="1" l="1"/>
  <c r="N84" i="1" s="1"/>
  <c r="U81" i="1"/>
  <c r="U80" i="1"/>
  <c r="E79" i="1"/>
  <c r="G79" i="1" s="1"/>
  <c r="H79" i="1" l="1"/>
  <c r="M79" i="1" s="1"/>
  <c r="K79" i="1"/>
  <c r="J79" i="1"/>
  <c r="L79" i="1"/>
  <c r="I79" i="1" l="1"/>
  <c r="N79" i="1" s="1"/>
  <c r="U77" i="1" l="1"/>
  <c r="G77" i="1"/>
  <c r="J77" i="1" s="1"/>
  <c r="K77" i="1" l="1"/>
  <c r="H77" i="1"/>
  <c r="M77" i="1" s="1"/>
  <c r="I77" i="1" l="1"/>
  <c r="N77" i="1" s="1"/>
  <c r="U75" i="1" l="1"/>
  <c r="E75" i="1"/>
  <c r="G75" i="1" s="1"/>
  <c r="K75" i="1" l="1"/>
  <c r="J75" i="1"/>
  <c r="L75" i="1"/>
  <c r="H75" i="1"/>
  <c r="M75" i="1" s="1"/>
  <c r="I75" i="1" l="1"/>
  <c r="N75" i="1" s="1"/>
  <c r="U72" i="1"/>
  <c r="E72" i="1"/>
  <c r="G72" i="1" s="1"/>
  <c r="K72" i="1" l="1"/>
  <c r="L72" i="1"/>
  <c r="H72" i="1"/>
  <c r="M72" i="1" s="1"/>
  <c r="J72" i="1"/>
  <c r="I72" i="1" l="1"/>
  <c r="N72" i="1" s="1"/>
  <c r="E68" i="1"/>
  <c r="G68" i="1" l="1"/>
  <c r="J68" i="1" s="1"/>
  <c r="E69" i="1"/>
  <c r="G69" i="1" s="1"/>
  <c r="H68" i="1" l="1"/>
  <c r="M68" i="1" s="1"/>
  <c r="K68" i="1"/>
  <c r="L68" i="1"/>
  <c r="J69" i="1"/>
  <c r="K69" i="1"/>
  <c r="L69" i="1"/>
  <c r="H69" i="1"/>
  <c r="M69" i="1" s="1"/>
  <c r="I68" i="1" l="1"/>
  <c r="N68" i="1" s="1"/>
  <c r="I69" i="1"/>
  <c r="N69" i="1" s="1"/>
  <c r="U64" i="1"/>
  <c r="U63" i="1"/>
  <c r="U62" i="1"/>
  <c r="G62" i="1"/>
  <c r="K62" i="1" s="1"/>
  <c r="H62" i="1" l="1"/>
  <c r="M62" i="1" s="1"/>
  <c r="L62" i="1"/>
  <c r="J62" i="1"/>
  <c r="I62" i="1" l="1"/>
  <c r="N62" i="1" s="1"/>
  <c r="U59" i="1"/>
  <c r="G59" i="1"/>
  <c r="K59" i="1" s="1"/>
  <c r="L59" i="1" l="1"/>
  <c r="H59" i="1"/>
  <c r="M59" i="1" s="1"/>
  <c r="J59" i="1"/>
  <c r="I59" i="1" l="1"/>
  <c r="N59" i="1" s="1"/>
  <c r="U56" i="1"/>
  <c r="E56" i="1"/>
  <c r="G56" i="1" s="1"/>
  <c r="K56" i="1" s="1"/>
  <c r="H56" i="1" l="1"/>
  <c r="L56" i="1" s="1"/>
  <c r="J56" i="1"/>
  <c r="I56" i="1" l="1"/>
  <c r="N56" i="1" s="1"/>
  <c r="U51" i="1" l="1"/>
  <c r="N53" i="1"/>
  <c r="E52" i="1"/>
  <c r="G52" i="1" s="1"/>
  <c r="J52" i="1" s="1"/>
  <c r="E51" i="1"/>
  <c r="G51" i="1" s="1"/>
  <c r="K51" i="1" l="1"/>
  <c r="J51" i="1"/>
  <c r="H51" i="1"/>
  <c r="M51" i="1" s="1"/>
  <c r="K52" i="1"/>
  <c r="H52" i="1"/>
  <c r="M52" i="1" s="1"/>
  <c r="I51" i="1" l="1"/>
  <c r="N51" i="1" s="1"/>
  <c r="I52" i="1"/>
  <c r="N52" i="1" s="1"/>
  <c r="U47" i="1" l="1"/>
  <c r="U46" i="1"/>
  <c r="N47" i="1"/>
  <c r="M47" i="1"/>
  <c r="I47" i="1"/>
  <c r="E46" i="1"/>
  <c r="G46" i="1" s="1"/>
  <c r="J46" i="1" s="1"/>
  <c r="H46" i="1" l="1"/>
  <c r="M46" i="1" s="1"/>
  <c r="L46" i="1"/>
  <c r="K46" i="1"/>
  <c r="I46" i="1" l="1"/>
  <c r="N46" i="1" s="1"/>
  <c r="U42" i="1"/>
  <c r="N43" i="1"/>
  <c r="M43" i="1"/>
  <c r="I43" i="1"/>
  <c r="E42" i="1"/>
  <c r="G42" i="1" s="1"/>
  <c r="J42" i="1" s="1"/>
  <c r="H42" i="1" l="1"/>
  <c r="M42" i="1" s="1"/>
  <c r="L42" i="1"/>
  <c r="K42" i="1"/>
  <c r="I42" i="1" l="1"/>
  <c r="N42" i="1" s="1"/>
  <c r="U39" i="1" l="1"/>
  <c r="U38" i="1"/>
  <c r="U37" i="1"/>
  <c r="N39" i="1"/>
  <c r="L39" i="1"/>
  <c r="K39" i="1"/>
  <c r="J39" i="1"/>
  <c r="H39" i="1"/>
  <c r="M39" i="1" s="1"/>
  <c r="E38" i="1"/>
  <c r="G38" i="1" s="1"/>
  <c r="J38" i="1" s="1"/>
  <c r="E37" i="1"/>
  <c r="G37" i="1" s="1"/>
  <c r="K37" i="1" l="1"/>
  <c r="H37" i="1"/>
  <c r="M37" i="1" s="1"/>
  <c r="J37" i="1"/>
  <c r="H38" i="1"/>
  <c r="M38" i="1" s="1"/>
  <c r="I39" i="1"/>
  <c r="K38" i="1"/>
  <c r="I38" i="1" l="1"/>
  <c r="N38" i="1" s="1"/>
  <c r="I37" i="1"/>
  <c r="N37" i="1" s="1"/>
  <c r="U31" i="1"/>
  <c r="U30" i="1"/>
  <c r="U29" i="1"/>
  <c r="G32" i="1"/>
  <c r="K32" i="1" s="1"/>
  <c r="G30" i="1"/>
  <c r="L30" i="1" s="1"/>
  <c r="E29" i="1"/>
  <c r="G29" i="1" s="1"/>
  <c r="J29" i="1" s="1"/>
  <c r="J32" i="1" l="1"/>
  <c r="H32" i="1"/>
  <c r="I32" i="1" s="1"/>
  <c r="J30" i="1"/>
  <c r="L32" i="1"/>
  <c r="H29" i="1"/>
  <c r="M29" i="1" s="1"/>
  <c r="K30" i="1"/>
  <c r="K29" i="1"/>
  <c r="L29" i="1"/>
  <c r="H30" i="1"/>
  <c r="M30" i="1" s="1"/>
  <c r="M32" i="1" l="1"/>
  <c r="N32" i="1" s="1"/>
  <c r="I30" i="1"/>
  <c r="N30" i="1" s="1"/>
  <c r="I29" i="1"/>
  <c r="N29" i="1" s="1"/>
  <c r="G25" i="1" l="1"/>
  <c r="K25" i="1" s="1"/>
  <c r="G23" i="1"/>
  <c r="J23" i="1" s="1"/>
  <c r="E22" i="1"/>
  <c r="G22" i="1" s="1"/>
  <c r="K22" i="1" l="1"/>
  <c r="H22" i="1"/>
  <c r="I22" i="1" s="1"/>
  <c r="L22" i="1"/>
  <c r="H25" i="1"/>
  <c r="M25" i="1" s="1"/>
  <c r="L25" i="1"/>
  <c r="H23" i="1"/>
  <c r="M23" i="1" s="1"/>
  <c r="J22" i="1"/>
  <c r="L23" i="1"/>
  <c r="J25" i="1"/>
  <c r="K23" i="1"/>
  <c r="E24" i="1" l="1"/>
  <c r="N24" i="1" s="1"/>
  <c r="I25" i="1"/>
  <c r="N25" i="1" s="1"/>
  <c r="M22" i="1"/>
  <c r="N22" i="1" s="1"/>
  <c r="I23" i="1"/>
  <c r="N23" i="1" s="1"/>
  <c r="U16" i="1" l="1"/>
  <c r="R15" i="1"/>
  <c r="U15" i="1" s="1"/>
  <c r="R14" i="1"/>
  <c r="U14" i="1" s="1"/>
  <c r="G15" i="1"/>
  <c r="E14" i="1"/>
  <c r="G14" i="1" l="1"/>
  <c r="L14" i="1" s="1"/>
  <c r="L15" i="1"/>
  <c r="K15" i="1"/>
  <c r="H15" i="1"/>
  <c r="M15" i="1" s="1"/>
  <c r="E18" i="1" s="1"/>
  <c r="J15" i="1"/>
  <c r="J14" i="1" l="1"/>
  <c r="H14" i="1"/>
  <c r="M14" i="1" s="1"/>
  <c r="N18" i="1"/>
  <c r="H18" i="1"/>
  <c r="I15" i="1"/>
  <c r="N15" i="1" s="1"/>
  <c r="I14" i="1"/>
  <c r="N14" i="1" l="1"/>
  <c r="R12" i="1"/>
  <c r="R11" i="1"/>
  <c r="N11" i="1" l="1"/>
  <c r="G10" i="1" l="1"/>
  <c r="J10" i="1" s="1"/>
  <c r="K10" i="1" l="1"/>
  <c r="H10" i="1"/>
  <c r="M10" i="1" s="1"/>
  <c r="R9" i="1"/>
  <c r="G9" i="1"/>
  <c r="K9" i="1" l="1"/>
  <c r="I10" i="1"/>
  <c r="N10" i="1" s="1"/>
  <c r="J9" i="1"/>
  <c r="H9" i="1"/>
  <c r="M9" i="1" s="1"/>
  <c r="I9" i="1" l="1"/>
  <c r="N9" i="1" s="1"/>
  <c r="R8" i="1"/>
  <c r="G13" i="1"/>
  <c r="H13" i="1" s="1"/>
  <c r="G12" i="1"/>
  <c r="L12" i="1" l="1"/>
  <c r="U10" i="1"/>
  <c r="H12" i="1"/>
  <c r="K13" i="1"/>
  <c r="L13" i="1"/>
  <c r="J13" i="1"/>
  <c r="J12" i="1"/>
  <c r="K12" i="1"/>
  <c r="M12" i="1" l="1"/>
  <c r="I12" i="1"/>
  <c r="N12" i="1" l="1"/>
  <c r="M13" i="1"/>
  <c r="I13" i="1"/>
  <c r="N13" i="1" l="1"/>
</calcChain>
</file>

<file path=xl/sharedStrings.xml><?xml version="1.0" encoding="utf-8"?>
<sst xmlns="http://schemas.openxmlformats.org/spreadsheetml/2006/main" count="215" uniqueCount="182">
  <si>
    <t>Amount</t>
  </si>
  <si>
    <t>PAYMENT NOTE No.</t>
  </si>
  <si>
    <t>UTR</t>
  </si>
  <si>
    <t>SD (5%)</t>
  </si>
  <si>
    <t>Advance paid</t>
  </si>
  <si>
    <t>TDS Amount @ 1% on BASIC AMOUNT</t>
  </si>
  <si>
    <t>M/s Abhinisha Infra</t>
  </si>
  <si>
    <t>09-01-2023 NEFT/AXISP00353457265/RIUP22/1812/ABHINISHA INFRA 99000.00</t>
  </si>
  <si>
    <t>01-02-2023 NEFT/AXISP00359583342/RIUP22/2061/ABHINISHA INFRA ₹ 99,000.00</t>
  </si>
  <si>
    <t>RIUP22/1812</t>
  </si>
  <si>
    <t>RIUP22/2061/</t>
  </si>
  <si>
    <t>RIUP22/1813</t>
  </si>
  <si>
    <t>09-01-2023 NEFT/AXISP00353457267/RIUP22/1813/ABHINISHA INFRA 99000.00</t>
  </si>
  <si>
    <t>RIUP22/2062</t>
  </si>
  <si>
    <t>01-02-2023 NEFT/AXISP00359583341/RIUP22/2062/ABHINISHA INFRA ₹ 99,000.00</t>
  </si>
  <si>
    <t>RIUP22/1902</t>
  </si>
  <si>
    <t>18-01-2023 NEFT/AXISP00355710815/RIUP22/1902/ABHINISHA INFRA ₹ 99,000.00</t>
  </si>
  <si>
    <t>RIUP22/2063</t>
  </si>
  <si>
    <t>01-02-2023 NEFT/AXISP00359583343/RIUP22/2063/ABHINISHA INFRA ₹ 99,000.00</t>
  </si>
  <si>
    <t>RIUP22/2634</t>
  </si>
  <si>
    <t>30-03-2023 NEFT/AXISP00376411983/RIUP22/2634/ABHIN ISHA INFRA 30409.00</t>
  </si>
  <si>
    <t>20-04-2023 20-04-2023 NEFT/AXISP00383281375/SPUP23/0140/ABHINISHA INFRA 72642.00</t>
  </si>
  <si>
    <t>10-05-2023 NEFT/AXISP00388990948/RIUP23/077/ABHINISHA INFRA 46566.00</t>
  </si>
  <si>
    <t>RIUP23/219</t>
  </si>
  <si>
    <t>25-05-2023 NEFT/AXISP00392595794/RIUP23/219/ABHINISHA INFRA 121317.00</t>
  </si>
  <si>
    <t>RIUP22/2558</t>
  </si>
  <si>
    <t>17-03-2023 NEFT/AXISP00372194503/RIUP22/2558/ABHINISHA INFRA 35309.00</t>
  </si>
  <si>
    <t>RIUP23/076</t>
  </si>
  <si>
    <t>10-05-2023 NEFT/AXISP00388990949/RIUP23/076/ABHINISHA INFRA 7566.00</t>
  </si>
  <si>
    <t>09-06-2023 NEFT/AXISP00397387005/RIUP23/559/ABHINISHA INFRA 161643.00</t>
  </si>
  <si>
    <t>15-06-2023 NEFT/AXISP00398797337/RIUP23/677/ABHINISHA INFRA 198000.00</t>
  </si>
  <si>
    <t>RIUP23/222</t>
  </si>
  <si>
    <t>12-05-2023 NEFT/AXISP00389894137/RIUP23/222/ABHINISHA INFRA 116050.00</t>
  </si>
  <si>
    <t>RIUP22/2623</t>
  </si>
  <si>
    <t>17-03-2023 NEFT/AXISP00372194520/RIUP22/2623/ABHINISHA INFRA 92578.00</t>
  </si>
  <si>
    <t>RIUP23/081</t>
  </si>
  <si>
    <t>04-05-2023 NEFT/AXISP00387404081/RIUP23/081/ABHINISHA INFRA 19838.00</t>
  </si>
  <si>
    <t>09-06-2023 NEFT/AXISP00397387006/RIUP23/560/ABHINISHA INFRA 164835.00</t>
  </si>
  <si>
    <t>15-06-2023 NEFT/AXISP00398797336/RIUP23/678/ABHINISHA INFRA 198000.00</t>
  </si>
  <si>
    <t>RIUP22/2584</t>
  </si>
  <si>
    <t>27-03-2023 NEFT/AXISP00374448946/RIUP22/2584/ABHINISHA INFRA 110357.00</t>
  </si>
  <si>
    <t>SPUP23/0141</t>
  </si>
  <si>
    <t>20-04-2023 20-04-2023 NEFT/AXISP00383281374/SPUP23/0141/ABHINISHA INFRA 74479.00</t>
  </si>
  <si>
    <t>RIUP23/079</t>
  </si>
  <si>
    <t>04-05-2023 NEFT/AXISP00387404082/RIUP23/079/ABHINISHA INFRA 22319.00</t>
  </si>
  <si>
    <t>RIUP22/2635</t>
  </si>
  <si>
    <t>20-03-2023 NEFT/AXISP00372620114/RIUP22/2635/ABHINISHA INFRA 92578.00</t>
  </si>
  <si>
    <t>RIUP23/080</t>
  </si>
  <si>
    <t>09-05-2023 NEFT/AXISP00388778891/RIUP23/080/ABHINISHA INFRA 19838.00</t>
  </si>
  <si>
    <t>RIUP22/2621</t>
  </si>
  <si>
    <t>16-03-2023 NEFT/AXISP00371978438/RIUP22/2621/ABHINISHA INFRA ₹ 40,200.00</t>
  </si>
  <si>
    <t>RIUP23/082</t>
  </si>
  <si>
    <t>04-05-2023 NEFT/AXISP00387404080/RIUP23/082/ABHINISHA INFRA 8614.00</t>
  </si>
  <si>
    <t>RIUP22/2622</t>
  </si>
  <si>
    <t>16-03-2023 NEFT/AXISP00371978436/RIUP22/2622/ABHINISHA INFRA ₹ 1,65,047.00</t>
  </si>
  <si>
    <t>19-04-2023 19-04-2023 NEFT/AXISP00382826208/SPUP23/0142/ABHINISHA INFRA 75819.00</t>
  </si>
  <si>
    <t>09-05-2023 NEFT/AXISP00388778892/RIUP23/078/ABHINISHA INFRA 33380.00</t>
  </si>
  <si>
    <t>Mubarikpur Village Pump House work</t>
  </si>
  <si>
    <t>SPUP23/0189</t>
  </si>
  <si>
    <t>19-04-2023 19-04-2023 NEFT/AXISP00382826209/SPUP23/0189/ABHINISHA INFRA 98790.00</t>
  </si>
  <si>
    <t>RIUP23/337</t>
  </si>
  <si>
    <t>23-05-2023 NEFT/AXISP00392088477/RIUP23/337/ABHINISHA INFRA 64023.00</t>
  </si>
  <si>
    <t>RIUP23/393</t>
  </si>
  <si>
    <t>25-05-2023 NEFT/AXISP00392601986/RIUP23/393/ABHINISHA INFRA 148500.00</t>
  </si>
  <si>
    <t>RIUP23/487</t>
  </si>
  <si>
    <t>03-06-2023 NEFT/AXISP00395454139/RIUP23/487/ABHINISHA INFRA ₹ 16,140.00</t>
  </si>
  <si>
    <t>RIUP23/616</t>
  </si>
  <si>
    <t>12-06-2023 NEFT/AXISP00397819350/RIUP23/616/ABHINISHA INFRA 148500.00</t>
  </si>
  <si>
    <t>RIUP23/394</t>
  </si>
  <si>
    <t>25-05-2023 NEFT/AXISP00392601987/RIUP23/394/ABHINISHA INFRA 49500.00</t>
  </si>
  <si>
    <t>RIUP23/286</t>
  </si>
  <si>
    <t>25-05-2023 NEFT/AXISP00392595796/RIUP23/286/ABHINISHA INFRA 66149.00</t>
  </si>
  <si>
    <t>RIUP23/422</t>
  </si>
  <si>
    <t>29-05-2023 NEFT/AXISP00393029900/RIUP23/422/ABHINISHA INFRA 75369.00</t>
  </si>
  <si>
    <t>RIUP23/468</t>
  </si>
  <si>
    <t>02-06-2023 NEFT/AXISP00395047094/RIUP23/468/ABHINISHA INFRA 75450.00</t>
  </si>
  <si>
    <t>Cash</t>
  </si>
  <si>
    <t>In cash at site</t>
  </si>
  <si>
    <t>RIUP23/636</t>
  </si>
  <si>
    <t>13-06-2023 NEFT/AXISP00398105740/RIUP23/636/ABHINISHA INFRA ₹ 33,441.00</t>
  </si>
  <si>
    <t>RIUP23/679</t>
  </si>
  <si>
    <t>15-06-2023 NEFT/AXISP00398797335/RIUP23/679/ABHINISHA INFRA 198000.00</t>
  </si>
  <si>
    <t>RIUP23/635</t>
  </si>
  <si>
    <t>13-06-2023 NEFT/AXISP00398105739/RIUP23/635/ABHINISHA INFRA ₹ 92,784.00</t>
  </si>
  <si>
    <t>RIUP23/894</t>
  </si>
  <si>
    <t>28-06-2023 NEFT/AXISP00401332291/RIUP23/894/ABHINISHA INFRA 77474.00</t>
  </si>
  <si>
    <t>RIUP23/895</t>
  </si>
  <si>
    <t>28-06-2023 NEFT/AXISP00401332292/RIUP23/895/ABHINISHA INFRA 87553.00</t>
  </si>
  <si>
    <t>28-06-2023 NEFT/AXISP00401442272/RIUP23/922A/ABHINISHA INFRA 1545.00</t>
  </si>
  <si>
    <t>17-08-2023 NEFT/AXISP00416302873/RIUP23/1548/ABHINISHA INFRA 396000.00</t>
  </si>
  <si>
    <t>RIUP23/1548</t>
  </si>
  <si>
    <t>RIUP23/1356</t>
  </si>
  <si>
    <t>18-08-2023 NEFT/AXISP00416613525/RIUP23/1356/ABHINISHA INFRA 90355.00</t>
  </si>
  <si>
    <t>RIUP23/2635</t>
  </si>
  <si>
    <t>RIUP23/077</t>
  </si>
  <si>
    <t>RIUP23/559</t>
  </si>
  <si>
    <t>RIUP23/677</t>
  </si>
  <si>
    <t>01-08-2023 NEFT/AXISP00411668991/RIUPP23/1314/ABHINISHA INFR 11372.00</t>
  </si>
  <si>
    <t>RIUP23/1314</t>
  </si>
  <si>
    <t>SPUP22/0142</t>
  </si>
  <si>
    <t>RIUP22/078</t>
  </si>
  <si>
    <t>22-08-2023 NEFT/AXISP00417367263/RIUP23/1637/ABHINISHA INFRA 113407.00</t>
  </si>
  <si>
    <t>RIUP23/1637</t>
  </si>
  <si>
    <t>14-07-2023 NEFT/AXISP00406995899/RIUP23/1065/ABHINISHA INFRA 187929.00</t>
  </si>
  <si>
    <t>RIUP23/922A</t>
  </si>
  <si>
    <t>RIUP23/1065</t>
  </si>
  <si>
    <t>01-08-2023 NEFT/AXISP00411668986/RIUPP23/1288/ABHINISHA INFR 5513.00</t>
  </si>
  <si>
    <t>RIUP23/1288</t>
  </si>
  <si>
    <t>14-07-2023 NEFT/AXISP00406995898/RIUP23/1064/ABHINISHA INFRA 430849.00</t>
  </si>
  <si>
    <t>RIUP23/1064</t>
  </si>
  <si>
    <t>02-09-2023 NEFT/AXISP00421170810/RIUP23/1819/ABHINISHA INFRA/YESB0001014 ₹ 77,769.00</t>
  </si>
  <si>
    <t>RIUP23/1819</t>
  </si>
  <si>
    <t>RIUP23/1337</t>
  </si>
  <si>
    <t>02-08-2023 NEFT/AXISP00411992213/RIUP23/1337/ABHINISHA INFRA 96397.00</t>
  </si>
  <si>
    <t>26-10-2023 NEFT/AXISP00437006011/RIUP23/2683/ABHINISHA INFRA/YESB0001014 92907.00</t>
  </si>
  <si>
    <t>26-10-2023 NEFT/AXISP00437006018/RIUP23/2769/ABHINISHA INFRA/YESB0001014 19980.00</t>
  </si>
  <si>
    <t>26-10-2023 NEFT/AXISP00437006017/RIUP23/2768/ABHINISHA INFRA/YESB0001014 15334.00</t>
  </si>
  <si>
    <t>26-10-2023 NEFT/AXISP00437006016/RIUP23/2767/ABHINISHA INFRA/YESB0001014 15063.00</t>
  </si>
  <si>
    <t>08-11-2023 NEFT/AXISP00442118542/RIUP23/2766/ABHINISHA INFRA/YESB0001014 14692.00</t>
  </si>
  <si>
    <t>Debit</t>
  </si>
  <si>
    <t>Total Hold Without GST</t>
  </si>
  <si>
    <t>RIUP23/2766</t>
  </si>
  <si>
    <t>RIUP23/560</t>
  </si>
  <si>
    <t>RIUP23/678</t>
  </si>
  <si>
    <t>RIUP23/2767</t>
  </si>
  <si>
    <t>RIUP22/2768</t>
  </si>
  <si>
    <t>RIUP22/2769</t>
  </si>
  <si>
    <t>24-07-2023 NEFT/AXISP00408935242/RIUP23/1110/ABHINISHA INFRA 186911.00</t>
  </si>
  <si>
    <t>RIUP23/1110</t>
  </si>
  <si>
    <t>25-07-2023 NEFT/AXISP00409244026/RIUP23/1215/ABHINISHA INFRA 148500.00</t>
  </si>
  <si>
    <t xml:space="preserve">Not checked </t>
  </si>
  <si>
    <t>Not booked</t>
  </si>
  <si>
    <t>GST Hold</t>
  </si>
  <si>
    <t>SD + Testing Deposit</t>
  </si>
  <si>
    <t>Cement - 97750 + Deisel- 65634 + Steel- 733101</t>
  </si>
  <si>
    <t xml:space="preserve">Advance </t>
  </si>
  <si>
    <t>GST Paid to Contractor</t>
  </si>
  <si>
    <t>Remaining GST</t>
  </si>
  <si>
    <t>Subcontractor:</t>
  </si>
  <si>
    <t>State:</t>
  </si>
  <si>
    <t>Uttar Pradesh</t>
  </si>
  <si>
    <t>District:</t>
  </si>
  <si>
    <t>Muzaffarnagar</t>
  </si>
  <si>
    <t>Block:</t>
  </si>
  <si>
    <t>Abhinisha infra MZN</t>
  </si>
  <si>
    <t>Mubarikpur Village Boundary wall Work</t>
  </si>
  <si>
    <t>GST Release Note</t>
  </si>
  <si>
    <t>Mubarikpur Village OHT Work</t>
  </si>
  <si>
    <t>Silajuddi Village OHT Construction  150 kl 12m Work</t>
  </si>
  <si>
    <t>Bibipur Village OHT Construction  150 kl 12m Work</t>
  </si>
  <si>
    <t>Khanpur Village Boundary wall Work</t>
  </si>
  <si>
    <t>Khanpur Village OHT Construction  75 kl 12m Work</t>
  </si>
  <si>
    <t>Jandheri jatan Village Boundary wall Work</t>
  </si>
  <si>
    <t>garhi Durganpur Village OHT Construction  125  kl 12m Work</t>
  </si>
  <si>
    <t>garhi Durganpur Village OHT Construction 125  kl 12m Work</t>
  </si>
  <si>
    <t>Ladawa Village OHT Work</t>
  </si>
  <si>
    <t>Jafarpur Village OHT Construction  75  kl 12m Work</t>
  </si>
  <si>
    <t>Rampurr Village OHT Construction  75  kl 12m Work</t>
  </si>
  <si>
    <t>karwara Village OHT Construction  150  kl 16 m Work</t>
  </si>
  <si>
    <t>Dholari Village OHT Construction  150  kl 12 m Work</t>
  </si>
  <si>
    <t>Amirnagar Village OHT Construction  325 kl 12m Work</t>
  </si>
  <si>
    <t>Atali Village OHT Work</t>
  </si>
  <si>
    <t>Badh Village OHT Construction  150 KL 12m staging Work</t>
  </si>
  <si>
    <t>Gyanmazra Village OHT Construction  150KL 16m staging Work</t>
  </si>
  <si>
    <t>Bihari Village OHT Construction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</si>
  <si>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</si>
  <si>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</si>
  <si>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</si>
  <si>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</si>
  <si>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</si>
  <si>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</si>
  <si>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</si>
  <si>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</si>
  <si>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</si>
  <si>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</si>
  <si>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</si>
  <si>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</si>
  <si>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</si>
  <si>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</si>
  <si>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Chimavu village OHT Construction 150 kl 12m  Work</t>
  </si>
  <si>
    <t>Buddakheda village  OHT Construction  150 kl 12m Work</t>
  </si>
  <si>
    <t xml:space="preserve">bahpur Khatauli Village OHT Construction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</si>
</sst>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43" fontId="0" fillId="2" borderId="3" xfId="0" applyNumberForma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4" xfId="0" applyFill="1" applyBorder="1" applyAlignment="1">
      <alignment vertical="center"/>
    </xf>
    <xf numFmtId="4" fontId="8" fillId="2" borderId="2" xfId="0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3" fillId="2" borderId="3" xfId="0" quotePrefix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5" borderId="0" xfId="0" applyFill="1" applyAlignment="1">
      <alignment vertical="center"/>
    </xf>
    <xf numFmtId="43" fontId="8" fillId="2" borderId="2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5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2" fillId="2" borderId="9" xfId="1" applyNumberFormat="1" applyFont="1" applyFill="1" applyBorder="1" applyAlignment="1">
      <alignment vertical="center"/>
    </xf>
    <xf numFmtId="0" fontId="12" fillId="2" borderId="5" xfId="0" applyFont="1" applyFill="1" applyBorder="1" applyAlignment="1">
      <alignment vertical="center"/>
    </xf>
    <xf numFmtId="0" fontId="5" fillId="6" borderId="7" xfId="0" applyFont="1" applyFill="1" applyBorder="1" applyAlignment="1">
      <alignment horizontal="center" vertical="center" wrapText="1"/>
    </xf>
    <xf numFmtId="43" fontId="3" fillId="6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 wrapText="1"/>
    </xf>
    <xf numFmtId="165" fontId="8" fillId="2" borderId="2" xfId="0" applyNumberFormat="1" applyFont="1" applyFill="1" applyBorder="1" applyAlignment="1">
      <alignment horizontal="center" vertical="center"/>
    </xf>
    <xf numFmtId="43" fontId="0" fillId="3" borderId="3" xfId="0" applyNumberForma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14" fillId="2" borderId="6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13" fillId="2" borderId="2" xfId="1" applyNumberFormat="1" applyFont="1" applyFill="1" applyBorder="1" applyAlignment="1">
      <alignment horizontal="center" vertical="center"/>
    </xf>
    <xf numFmtId="165" fontId="13" fillId="2" borderId="2" xfId="0" applyNumberFormat="1" applyFont="1" applyFill="1" applyBorder="1" applyAlignment="1">
      <alignment horizontal="center" vertical="center"/>
    </xf>
    <xf numFmtId="43" fontId="13" fillId="2" borderId="9" xfId="1" applyNumberFormat="1" applyFont="1" applyFill="1" applyBorder="1" applyAlignment="1">
      <alignment horizontal="center" vertical="center"/>
    </xf>
    <xf numFmtId="43" fontId="13" fillId="2" borderId="5" xfId="1" applyNumberFormat="1" applyFont="1" applyFill="1" applyBorder="1" applyAlignment="1">
      <alignment horizontal="center" vertical="center"/>
    </xf>
    <xf numFmtId="165" fontId="13" fillId="2" borderId="9" xfId="0" applyNumberFormat="1" applyFont="1" applyFill="1" applyBorder="1" applyAlignment="1">
      <alignment horizontal="center" vertical="center"/>
    </xf>
    <xf numFmtId="165" fontId="13" fillId="2" borderId="5" xfId="0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I118"/>
  <sheetViews>
    <sheetView tabSelected="1" zoomScaleNormal="100" workbookViewId="0">
      <pane ySplit="6" topLeftCell="A7" activePane="bottomLeft" state="frozen"/>
      <selection pane="bottomLeft" activeCell="E11" sqref="E11"/>
    </sheetView>
  </sheetViews>
  <sheetFormatPr defaultColWidth="9" defaultRowHeight="15" x14ac:dyDescent="0.25"/>
  <cols>
    <col min="1" max="1" width="9" style="2"/>
    <col min="2" max="2" width="37" style="2" customWidth="1"/>
    <col min="3" max="3" width="13.140625" style="2" bestFit="1" customWidth="1"/>
    <col min="4" max="4" width="9.85546875" style="2" customWidth="1"/>
    <col min="5" max="5" width="15.140625" style="2" customWidth="1"/>
    <col min="6" max="6" width="13.28515625" style="2" customWidth="1"/>
    <col min="7" max="7" width="17" style="2" customWidth="1"/>
    <col min="8" max="8" width="14.7109375" style="10" customWidth="1"/>
    <col min="9" max="9" width="12.85546875" style="10" customWidth="1"/>
    <col min="10" max="10" width="13.85546875" style="2" customWidth="1"/>
    <col min="11" max="11" width="15.140625" style="2" customWidth="1"/>
    <col min="12" max="12" width="14" style="2" customWidth="1"/>
    <col min="13" max="13" width="23.85546875" style="2" customWidth="1"/>
    <col min="14" max="14" width="15.5703125" style="2" bestFit="1" customWidth="1"/>
    <col min="15" max="15" width="8" style="2" bestFit="1" customWidth="1"/>
    <col min="16" max="16" width="21.5703125" style="2" hidden="1" customWidth="1"/>
    <col min="17" max="17" width="15" style="2" hidden="1" customWidth="1"/>
    <col min="18" max="18" width="22.7109375" style="2" hidden="1" customWidth="1"/>
    <col min="19" max="19" width="33.7109375" style="2" hidden="1" customWidth="1"/>
    <col min="20" max="20" width="15.42578125" style="2" hidden="1" customWidth="1"/>
    <col min="21" max="21" width="20.5703125" style="2" bestFit="1" customWidth="1"/>
    <col min="22" max="22" width="101.140625" style="2" bestFit="1" customWidth="1"/>
    <col min="23" max="23" width="16.85546875" style="2" bestFit="1" customWidth="1"/>
    <col min="24" max="35" width="9" style="35"/>
    <col min="36" max="36" width="17.5703125" style="35" customWidth="1"/>
    <col min="37" max="37" width="13.7109375" style="35" customWidth="1"/>
    <col min="38" max="38" width="18.42578125" style="35" customWidth="1"/>
    <col min="39" max="87" width="9" style="35"/>
    <col min="88" max="16384" width="9" style="2"/>
  </cols>
  <sheetData>
    <row r="1" spans="1:87" ht="15.75" thickBot="1" x14ac:dyDescent="0.3">
      <c r="A1" s="58" t="s">
        <v>138</v>
      </c>
      <c r="B1" s="59" t="s">
        <v>144</v>
      </c>
      <c r="C1"/>
      <c r="E1" s="3"/>
      <c r="F1" s="3"/>
      <c r="G1" s="3"/>
      <c r="H1" s="4"/>
      <c r="I1" s="4"/>
    </row>
    <row r="2" spans="1:87" ht="21.75" thickBot="1" x14ac:dyDescent="0.3">
      <c r="A2" s="58" t="s">
        <v>139</v>
      </c>
      <c r="B2" t="s">
        <v>140</v>
      </c>
      <c r="D2" s="50"/>
      <c r="E2" s="34"/>
      <c r="F2" s="51"/>
      <c r="G2" s="49"/>
      <c r="H2" s="4"/>
      <c r="I2" s="49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87" ht="21" x14ac:dyDescent="0.25">
      <c r="A3" s="58" t="s">
        <v>141</v>
      </c>
      <c r="B3" t="s">
        <v>142</v>
      </c>
      <c r="D3" s="48"/>
      <c r="F3" s="57"/>
      <c r="G3" s="49"/>
      <c r="H3" s="4"/>
      <c r="I3" s="49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87" ht="15.75" thickBot="1" x14ac:dyDescent="0.3">
      <c r="A4" s="58" t="s">
        <v>143</v>
      </c>
      <c r="B4" t="s">
        <v>142</v>
      </c>
      <c r="D4" s="5"/>
      <c r="E4" s="5"/>
      <c r="F4" s="5"/>
      <c r="G4" s="5"/>
      <c r="H4" s="6"/>
      <c r="I4" s="6"/>
      <c r="J4" s="5"/>
      <c r="K4" s="5"/>
      <c r="L4" s="5"/>
      <c r="P4" s="5"/>
      <c r="Q4" s="7"/>
      <c r="R4" s="7"/>
      <c r="S4" s="7"/>
      <c r="T4" s="7"/>
      <c r="U4" s="7"/>
      <c r="V4" s="7"/>
    </row>
    <row r="5" spans="1:87" s="47" customFormat="1" ht="43.9" customHeight="1" x14ac:dyDescent="0.25">
      <c r="A5" s="60" t="s">
        <v>165</v>
      </c>
      <c r="B5" s="14" t="s">
        <v>166</v>
      </c>
      <c r="C5" s="61" t="s">
        <v>167</v>
      </c>
      <c r="D5" s="62" t="s">
        <v>168</v>
      </c>
      <c r="E5" s="14" t="s">
        <v>169</v>
      </c>
      <c r="F5" s="14" t="s">
        <v>170</v>
      </c>
      <c r="G5" s="62" t="s">
        <v>171</v>
      </c>
      <c r="H5" s="63" t="s">
        <v>172</v>
      </c>
      <c r="I5" s="64" t="s">
        <v>0</v>
      </c>
      <c r="J5" s="14" t="s">
        <v>173</v>
      </c>
      <c r="K5" s="14" t="s">
        <v>174</v>
      </c>
      <c r="L5" s="14" t="s">
        <v>175</v>
      </c>
      <c r="M5" s="14" t="s">
        <v>176</v>
      </c>
      <c r="N5" s="14" t="s">
        <v>177</v>
      </c>
      <c r="O5" s="22"/>
      <c r="P5" s="22" t="s">
        <v>1</v>
      </c>
      <c r="Q5" s="22" t="s">
        <v>0</v>
      </c>
      <c r="R5" s="22" t="s">
        <v>5</v>
      </c>
      <c r="S5" s="22" t="s">
        <v>3</v>
      </c>
      <c r="T5" s="22" t="s">
        <v>4</v>
      </c>
      <c r="U5" s="14" t="s">
        <v>178</v>
      </c>
      <c r="V5" s="22" t="s">
        <v>2</v>
      </c>
      <c r="W5" s="14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</row>
    <row r="6" spans="1:87" ht="15.75" thickBot="1" x14ac:dyDescent="0.3">
      <c r="A6" s="19"/>
      <c r="B6" s="9"/>
      <c r="C6" s="9"/>
      <c r="D6" s="9"/>
      <c r="E6" s="9"/>
      <c r="F6" s="9"/>
      <c r="G6" s="9"/>
      <c r="H6" s="41">
        <v>0.18</v>
      </c>
      <c r="I6" s="9"/>
      <c r="J6" s="41">
        <v>0.01</v>
      </c>
      <c r="K6" s="41">
        <v>0.05</v>
      </c>
      <c r="L6" s="41">
        <v>0.1</v>
      </c>
      <c r="M6" s="41">
        <v>0.18</v>
      </c>
      <c r="N6" s="9"/>
      <c r="O6" s="42"/>
      <c r="P6" s="9"/>
      <c r="Q6" s="9"/>
      <c r="R6" s="41">
        <v>0.01</v>
      </c>
      <c r="S6" s="41">
        <v>0.05</v>
      </c>
      <c r="T6" s="9"/>
      <c r="U6" s="9"/>
      <c r="V6" s="9"/>
      <c r="W6" s="19"/>
    </row>
    <row r="7" spans="1:87" s="11" customFormat="1" x14ac:dyDescent="0.25">
      <c r="B7" s="39"/>
      <c r="C7" s="39"/>
      <c r="D7" s="39"/>
      <c r="E7" s="39"/>
      <c r="F7" s="39"/>
      <c r="G7" s="39"/>
      <c r="H7" s="40"/>
      <c r="I7" s="39"/>
      <c r="J7" s="40"/>
      <c r="K7" s="40"/>
      <c r="L7" s="40"/>
      <c r="M7" s="40"/>
      <c r="N7" s="39"/>
      <c r="O7" s="52">
        <f>A8</f>
        <v>54347</v>
      </c>
      <c r="P7" s="39"/>
      <c r="Q7" s="39"/>
      <c r="R7" s="40"/>
      <c r="S7" s="40"/>
      <c r="T7" s="39"/>
      <c r="U7" s="39"/>
      <c r="V7" s="39"/>
      <c r="W7" s="38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</row>
    <row r="8" spans="1:87" ht="45.75" customHeight="1" x14ac:dyDescent="0.25">
      <c r="A8" s="38">
        <v>54347</v>
      </c>
      <c r="B8" s="24"/>
      <c r="C8" s="1"/>
      <c r="D8" s="25"/>
      <c r="E8" s="8"/>
      <c r="F8" s="8"/>
      <c r="G8" s="8"/>
      <c r="H8" s="8"/>
      <c r="I8" s="8"/>
      <c r="J8" s="8"/>
      <c r="K8" s="8"/>
      <c r="L8" s="8"/>
      <c r="M8" s="8"/>
      <c r="N8" s="8"/>
      <c r="O8" s="26"/>
      <c r="P8" s="8" t="s">
        <v>9</v>
      </c>
      <c r="Q8" s="8"/>
      <c r="R8" s="8">
        <f>Q8*$R$6</f>
        <v>0</v>
      </c>
      <c r="S8" s="8">
        <v>0</v>
      </c>
      <c r="T8" s="8">
        <v>0</v>
      </c>
      <c r="U8" s="8">
        <v>99000</v>
      </c>
      <c r="V8" s="18" t="s">
        <v>7</v>
      </c>
      <c r="W8" s="15"/>
    </row>
    <row r="9" spans="1:87" ht="27" customHeight="1" x14ac:dyDescent="0.25">
      <c r="A9" s="38">
        <v>54347</v>
      </c>
      <c r="B9" s="24"/>
      <c r="C9" s="1"/>
      <c r="D9" s="25"/>
      <c r="E9" s="8"/>
      <c r="F9" s="8"/>
      <c r="G9" s="8">
        <f>ROUND(E9-F9,)</f>
        <v>0</v>
      </c>
      <c r="H9" s="8">
        <f>ROUND(G9*$H$6,0)</f>
        <v>0</v>
      </c>
      <c r="I9" s="8">
        <f>G9+H9</f>
        <v>0</v>
      </c>
      <c r="J9" s="8">
        <f>ROUND(G9*$J$6,)</f>
        <v>0</v>
      </c>
      <c r="K9" s="8">
        <f>(G9*10%)</f>
        <v>0</v>
      </c>
      <c r="L9" s="8">
        <v>0</v>
      </c>
      <c r="M9" s="8">
        <f>H9</f>
        <v>0</v>
      </c>
      <c r="N9" s="8">
        <f>ROUND(I9-SUM(J9:M9),0)</f>
        <v>0</v>
      </c>
      <c r="O9" s="26"/>
      <c r="P9" s="8" t="s">
        <v>10</v>
      </c>
      <c r="Q9" s="8"/>
      <c r="R9" s="8">
        <f>Q9*$R$6</f>
        <v>0</v>
      </c>
      <c r="S9" s="8">
        <v>0</v>
      </c>
      <c r="T9" s="8">
        <v>0</v>
      </c>
      <c r="U9" s="8">
        <v>99000</v>
      </c>
      <c r="V9" s="18" t="s">
        <v>8</v>
      </c>
      <c r="W9" s="15"/>
    </row>
    <row r="10" spans="1:87" s="11" customFormat="1" x14ac:dyDescent="0.25">
      <c r="A10" s="16"/>
      <c r="B10" s="27"/>
      <c r="C10" s="12"/>
      <c r="D10" s="28"/>
      <c r="E10" s="13"/>
      <c r="F10" s="13">
        <v>0</v>
      </c>
      <c r="G10" s="13">
        <f>ROUND(E10-F10,)</f>
        <v>0</v>
      </c>
      <c r="H10" s="13">
        <f>ROUND(G10*$H$6,0)</f>
        <v>0</v>
      </c>
      <c r="I10" s="13">
        <f>G10+H10</f>
        <v>0</v>
      </c>
      <c r="J10" s="13">
        <f>ROUND(G10*$J$6,)</f>
        <v>0</v>
      </c>
      <c r="K10" s="13">
        <f>(G10*10%)</f>
        <v>0</v>
      </c>
      <c r="L10" s="13">
        <v>0</v>
      </c>
      <c r="M10" s="13">
        <f>H10</f>
        <v>0</v>
      </c>
      <c r="N10" s="13">
        <f>ROUND(I10-SUM(J10:M10),0)</f>
        <v>0</v>
      </c>
      <c r="O10" s="52">
        <f>A10</f>
        <v>0</v>
      </c>
      <c r="P10" s="13"/>
      <c r="Q10" s="13"/>
      <c r="R10" s="13">
        <v>0</v>
      </c>
      <c r="S10" s="13">
        <v>0</v>
      </c>
      <c r="T10" s="13">
        <v>0</v>
      </c>
      <c r="U10" s="13">
        <f t="shared" ref="U10" si="0">Q10-R10</f>
        <v>0</v>
      </c>
      <c r="V10" s="16"/>
      <c r="W10" s="17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</row>
    <row r="11" spans="1:87" ht="27" customHeight="1" x14ac:dyDescent="0.25">
      <c r="A11" s="16">
        <v>54350</v>
      </c>
      <c r="B11" s="24"/>
      <c r="C11" s="1"/>
      <c r="D11" s="25"/>
      <c r="E11" s="8"/>
      <c r="F11" s="8"/>
      <c r="G11" s="8"/>
      <c r="H11" s="8"/>
      <c r="I11" s="8"/>
      <c r="J11" s="8"/>
      <c r="K11" s="8"/>
      <c r="L11" s="8"/>
      <c r="M11" s="8"/>
      <c r="N11" s="8">
        <f>E11</f>
        <v>0</v>
      </c>
      <c r="O11" s="26"/>
      <c r="P11" s="8" t="s">
        <v>11</v>
      </c>
      <c r="Q11" s="8"/>
      <c r="R11" s="8">
        <f>Q11*$R$6</f>
        <v>0</v>
      </c>
      <c r="S11" s="8">
        <v>0</v>
      </c>
      <c r="T11" s="8">
        <v>0</v>
      </c>
      <c r="U11" s="8">
        <v>99000</v>
      </c>
      <c r="V11" s="18" t="s">
        <v>12</v>
      </c>
      <c r="W11" s="15"/>
    </row>
    <row r="12" spans="1:87" ht="27" customHeight="1" x14ac:dyDescent="0.25">
      <c r="A12" s="16">
        <v>54350</v>
      </c>
      <c r="B12" s="24"/>
      <c r="C12" s="8"/>
      <c r="D12" s="8"/>
      <c r="E12" s="8"/>
      <c r="F12" s="8"/>
      <c r="G12" s="8">
        <f t="shared" ref="G12:G13" si="1">ROUND(E12-F12,)</f>
        <v>0</v>
      </c>
      <c r="H12" s="8">
        <f t="shared" ref="H12:H13" si="2">ROUND(G12*$H$6,0)</f>
        <v>0</v>
      </c>
      <c r="I12" s="8">
        <f t="shared" ref="I12:I13" si="3">G12+H12</f>
        <v>0</v>
      </c>
      <c r="J12" s="8">
        <f t="shared" ref="J12:J13" si="4">ROUND(G12*$J$6,)</f>
        <v>0</v>
      </c>
      <c r="K12" s="8">
        <f t="shared" ref="K12:K13" si="5">ROUND(G12*$K$6,)</f>
        <v>0</v>
      </c>
      <c r="L12" s="8">
        <f>ROUND(G12*$L$6,)</f>
        <v>0</v>
      </c>
      <c r="M12" s="8">
        <f t="shared" ref="M12:M16" si="6">H12</f>
        <v>0</v>
      </c>
      <c r="N12" s="8">
        <f>ROUND(I12-SUM(J12:M12),0)</f>
        <v>0</v>
      </c>
      <c r="O12" s="26"/>
      <c r="P12" s="8" t="s">
        <v>13</v>
      </c>
      <c r="Q12" s="8"/>
      <c r="R12" s="8">
        <f>Q12*$R$6</f>
        <v>0</v>
      </c>
      <c r="S12" s="8">
        <v>0</v>
      </c>
      <c r="T12" s="8">
        <v>0</v>
      </c>
      <c r="U12" s="8">
        <v>99000</v>
      </c>
      <c r="V12" s="18" t="s">
        <v>14</v>
      </c>
      <c r="W12" s="15"/>
    </row>
    <row r="13" spans="1:87" s="11" customFormat="1" x14ac:dyDescent="0.25">
      <c r="B13" s="13"/>
      <c r="C13" s="13"/>
      <c r="D13" s="13"/>
      <c r="E13" s="13"/>
      <c r="F13" s="13"/>
      <c r="G13" s="13">
        <f t="shared" si="1"/>
        <v>0</v>
      </c>
      <c r="H13" s="13">
        <f t="shared" si="2"/>
        <v>0</v>
      </c>
      <c r="I13" s="13">
        <f t="shared" si="3"/>
        <v>0</v>
      </c>
      <c r="J13" s="13">
        <f t="shared" si="4"/>
        <v>0</v>
      </c>
      <c r="K13" s="13">
        <f t="shared" si="5"/>
        <v>0</v>
      </c>
      <c r="L13" s="13">
        <f>ROUND(G13*$L$6,)</f>
        <v>0</v>
      </c>
      <c r="M13" s="13">
        <f t="shared" si="6"/>
        <v>0</v>
      </c>
      <c r="N13" s="13">
        <f>ROUND(I13-SUM(J13:M13),0)</f>
        <v>0</v>
      </c>
      <c r="O13" s="52">
        <f>A14</f>
        <v>54354</v>
      </c>
      <c r="P13" s="13"/>
      <c r="Q13" s="13"/>
      <c r="R13" s="13"/>
      <c r="S13" s="13"/>
      <c r="T13" s="13"/>
      <c r="U13" s="13"/>
      <c r="V13" s="16"/>
      <c r="W13" s="17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</row>
    <row r="14" spans="1:87" ht="27" customHeight="1" x14ac:dyDescent="0.25">
      <c r="A14" s="16">
        <v>54354</v>
      </c>
      <c r="B14" s="24" t="s">
        <v>145</v>
      </c>
      <c r="C14" s="1">
        <v>44991</v>
      </c>
      <c r="D14" s="25">
        <v>3</v>
      </c>
      <c r="E14" s="8">
        <f>(116.6*3500)*60%</f>
        <v>244860</v>
      </c>
      <c r="F14" s="8">
        <v>22800</v>
      </c>
      <c r="G14" s="8">
        <f>ROUND(E14-F14,)</f>
        <v>222060</v>
      </c>
      <c r="H14" s="8">
        <f>ROUND(G14*$H$6,0)</f>
        <v>39971</v>
      </c>
      <c r="I14" s="8">
        <f>G14+H14</f>
        <v>262031</v>
      </c>
      <c r="J14" s="8">
        <f>ROUND(G14*$J$6,)</f>
        <v>2221</v>
      </c>
      <c r="K14" s="8">
        <v>0</v>
      </c>
      <c r="L14" s="8">
        <f>(G14*10%)</f>
        <v>22206</v>
      </c>
      <c r="M14" s="53">
        <f t="shared" si="6"/>
        <v>39971</v>
      </c>
      <c r="N14" s="8">
        <f>ROUND(I14-SUM(J14:M14),0)</f>
        <v>197633</v>
      </c>
      <c r="O14" s="26"/>
      <c r="P14" s="8" t="s">
        <v>15</v>
      </c>
      <c r="Q14" s="8">
        <v>100000</v>
      </c>
      <c r="R14" s="8">
        <f>Q14*$R$6</f>
        <v>1000</v>
      </c>
      <c r="S14" s="8">
        <v>0</v>
      </c>
      <c r="T14" s="8">
        <v>0</v>
      </c>
      <c r="U14" s="8">
        <f t="shared" ref="U14:U16" si="7">Q14-R14</f>
        <v>99000</v>
      </c>
      <c r="V14" s="18" t="s">
        <v>16</v>
      </c>
      <c r="W14" s="15"/>
    </row>
    <row r="15" spans="1:87" ht="27" customHeight="1" x14ac:dyDescent="0.25">
      <c r="A15" s="16">
        <v>54354</v>
      </c>
      <c r="B15" s="24" t="s">
        <v>147</v>
      </c>
      <c r="C15" s="1">
        <v>45029</v>
      </c>
      <c r="D15" s="25">
        <v>2</v>
      </c>
      <c r="E15" s="8">
        <v>170888</v>
      </c>
      <c r="F15" s="8">
        <v>134250</v>
      </c>
      <c r="G15" s="8">
        <f>ROUND(E15-F15,)</f>
        <v>36638</v>
      </c>
      <c r="H15" s="8">
        <f>ROUND(G15*$H$6,0)</f>
        <v>6595</v>
      </c>
      <c r="I15" s="8">
        <f>G15+H15</f>
        <v>43233</v>
      </c>
      <c r="J15" s="8">
        <f>ROUND(G15*$J$6,)</f>
        <v>366</v>
      </c>
      <c r="K15" s="8">
        <f>G15*K6</f>
        <v>1831.9</v>
      </c>
      <c r="L15" s="8">
        <f>(G15*10%)</f>
        <v>3663.8</v>
      </c>
      <c r="M15" s="53">
        <f t="shared" si="6"/>
        <v>6595</v>
      </c>
      <c r="N15" s="8">
        <f>ROUND(I15-SUM(J15:M15),0)</f>
        <v>30776</v>
      </c>
      <c r="O15" s="26"/>
      <c r="P15" s="8" t="s">
        <v>17</v>
      </c>
      <c r="Q15" s="8">
        <v>100000</v>
      </c>
      <c r="R15" s="8">
        <f>Q15*$R$6</f>
        <v>1000</v>
      </c>
      <c r="S15" s="8">
        <v>0</v>
      </c>
      <c r="T15" s="8">
        <v>0</v>
      </c>
      <c r="U15" s="8">
        <f t="shared" si="7"/>
        <v>99000</v>
      </c>
      <c r="V15" s="18" t="s">
        <v>18</v>
      </c>
      <c r="W15" s="15"/>
    </row>
    <row r="16" spans="1:87" ht="27" customHeight="1" x14ac:dyDescent="0.25">
      <c r="A16" s="16">
        <v>54354</v>
      </c>
      <c r="B16" s="24" t="s">
        <v>145</v>
      </c>
      <c r="C16" s="1">
        <v>45029</v>
      </c>
      <c r="D16" s="25">
        <v>1</v>
      </c>
      <c r="E16" s="8">
        <f>(116.6*3500)*20%</f>
        <v>81620</v>
      </c>
      <c r="F16" s="8">
        <v>0</v>
      </c>
      <c r="G16" s="8">
        <f>ROUND(E16-F16,)</f>
        <v>81620</v>
      </c>
      <c r="H16" s="8">
        <f>ROUND(G16*$H$6,0)</f>
        <v>14692</v>
      </c>
      <c r="I16" s="8">
        <f>G16+H16</f>
        <v>96312</v>
      </c>
      <c r="J16" s="8">
        <f>ROUND(G16*$J$6,)</f>
        <v>816</v>
      </c>
      <c r="K16" s="8">
        <v>0</v>
      </c>
      <c r="L16" s="8">
        <f>(G16*10%)</f>
        <v>8162</v>
      </c>
      <c r="M16" s="53">
        <f t="shared" si="6"/>
        <v>14692</v>
      </c>
      <c r="N16" s="8">
        <f>ROUND(I16-SUM(J16:M16),0)</f>
        <v>72642</v>
      </c>
      <c r="O16" s="26"/>
      <c r="P16" s="8" t="s">
        <v>19</v>
      </c>
      <c r="Q16" s="8">
        <v>30409</v>
      </c>
      <c r="R16" s="8">
        <v>0</v>
      </c>
      <c r="S16" s="8">
        <v>0</v>
      </c>
      <c r="T16" s="8">
        <v>0</v>
      </c>
      <c r="U16" s="8">
        <f t="shared" si="7"/>
        <v>30409</v>
      </c>
      <c r="V16" s="18" t="s">
        <v>20</v>
      </c>
      <c r="W16" s="15"/>
    </row>
    <row r="17" spans="1:87" ht="27" customHeight="1" x14ac:dyDescent="0.25">
      <c r="A17" s="16">
        <v>54354</v>
      </c>
      <c r="B17" s="24" t="s">
        <v>146</v>
      </c>
      <c r="C17" s="1"/>
      <c r="D17" s="25">
        <v>3</v>
      </c>
      <c r="E17" s="53">
        <v>39971</v>
      </c>
      <c r="F17" s="8"/>
      <c r="G17" s="8"/>
      <c r="H17" s="8">
        <f>E17</f>
        <v>39971</v>
      </c>
      <c r="I17" s="8"/>
      <c r="J17" s="8"/>
      <c r="K17" s="8"/>
      <c r="L17" s="8"/>
      <c r="M17" s="8"/>
      <c r="N17" s="8">
        <f>E17</f>
        <v>39971</v>
      </c>
      <c r="O17" s="26"/>
      <c r="P17" s="8" t="s">
        <v>93</v>
      </c>
      <c r="Q17" s="8">
        <v>72642</v>
      </c>
      <c r="R17" s="8">
        <v>0</v>
      </c>
      <c r="S17" s="8">
        <v>0</v>
      </c>
      <c r="T17" s="8">
        <v>0</v>
      </c>
      <c r="U17" s="8">
        <v>72642</v>
      </c>
      <c r="V17" s="18" t="s">
        <v>21</v>
      </c>
      <c r="W17" s="15"/>
    </row>
    <row r="18" spans="1:87" ht="27" customHeight="1" x14ac:dyDescent="0.25">
      <c r="A18" s="16">
        <v>54354</v>
      </c>
      <c r="B18" s="24" t="s">
        <v>146</v>
      </c>
      <c r="C18" s="1"/>
      <c r="D18" s="25">
        <v>2</v>
      </c>
      <c r="E18" s="53">
        <f>M15</f>
        <v>6595</v>
      </c>
      <c r="F18" s="8"/>
      <c r="G18" s="8"/>
      <c r="H18" s="8">
        <f>E18</f>
        <v>6595</v>
      </c>
      <c r="I18" s="8"/>
      <c r="J18" s="8"/>
      <c r="K18" s="8"/>
      <c r="L18" s="8"/>
      <c r="M18" s="8"/>
      <c r="N18" s="8">
        <f>E18</f>
        <v>6595</v>
      </c>
      <c r="O18" s="26"/>
      <c r="P18" s="8" t="s">
        <v>94</v>
      </c>
      <c r="Q18" s="8">
        <v>46566</v>
      </c>
      <c r="R18" s="8"/>
      <c r="S18" s="8"/>
      <c r="T18" s="8"/>
      <c r="U18" s="8">
        <v>46566</v>
      </c>
      <c r="V18" s="18" t="s">
        <v>22</v>
      </c>
      <c r="W18" s="15"/>
    </row>
    <row r="19" spans="1:87" ht="27" customHeight="1" x14ac:dyDescent="0.25">
      <c r="A19" s="16">
        <v>54354</v>
      </c>
      <c r="B19" s="24" t="s">
        <v>146</v>
      </c>
      <c r="C19" s="1"/>
      <c r="D19" s="25">
        <v>1</v>
      </c>
      <c r="E19" s="53">
        <f>M16</f>
        <v>14692</v>
      </c>
      <c r="F19" s="8"/>
      <c r="G19" s="8"/>
      <c r="H19" s="8">
        <f>E19</f>
        <v>14692</v>
      </c>
      <c r="I19" s="8"/>
      <c r="J19" s="8"/>
      <c r="K19" s="8"/>
      <c r="L19" s="8"/>
      <c r="M19" s="8"/>
      <c r="N19" s="8">
        <f>E19</f>
        <v>14692</v>
      </c>
      <c r="O19" s="26"/>
      <c r="P19" s="8" t="s">
        <v>121</v>
      </c>
      <c r="Q19" s="8">
        <v>14692</v>
      </c>
      <c r="R19" s="8"/>
      <c r="S19" s="8"/>
      <c r="T19" s="8"/>
      <c r="U19" s="8">
        <v>14692</v>
      </c>
      <c r="V19" s="18" t="s">
        <v>118</v>
      </c>
      <c r="W19" s="15"/>
    </row>
    <row r="20" spans="1:87" ht="27" x14ac:dyDescent="0.25">
      <c r="A20" s="16">
        <v>54354</v>
      </c>
      <c r="B20" s="24" t="s">
        <v>147</v>
      </c>
      <c r="C20" s="1">
        <v>45089</v>
      </c>
      <c r="D20" s="25">
        <v>17</v>
      </c>
      <c r="E20" s="8">
        <f>20%*3417771</f>
        <v>683554.20000000007</v>
      </c>
      <c r="F20" s="8">
        <v>223132</v>
      </c>
      <c r="G20" s="8">
        <f>ROUND(E20-F20,)</f>
        <v>460422</v>
      </c>
      <c r="H20" s="8">
        <f>ROUND(G20*$H$6,0)</f>
        <v>82876</v>
      </c>
      <c r="I20" s="8">
        <f>G20+H20</f>
        <v>543298</v>
      </c>
      <c r="J20" s="8">
        <f>ROUND(G20*$J$6,)</f>
        <v>4604</v>
      </c>
      <c r="K20" s="8">
        <f>G20*5%</f>
        <v>23021.100000000002</v>
      </c>
      <c r="L20" s="8">
        <f>(G20*10%)</f>
        <v>46042.200000000004</v>
      </c>
      <c r="M20" s="8">
        <f t="shared" ref="M20" si="8">H20</f>
        <v>82876</v>
      </c>
      <c r="N20" s="8">
        <f>ROUND(I20-SUM(J20:M20),0)</f>
        <v>386755</v>
      </c>
      <c r="O20" s="26" t="s">
        <v>130</v>
      </c>
      <c r="P20" s="8"/>
      <c r="Q20" s="8"/>
      <c r="R20" s="8"/>
      <c r="S20" s="8"/>
      <c r="T20" s="8"/>
      <c r="U20" s="8"/>
      <c r="V20" s="18"/>
      <c r="W20" s="15"/>
    </row>
    <row r="21" spans="1:87" s="11" customFormat="1" x14ac:dyDescent="0.25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52">
        <f>A22</f>
        <v>54667</v>
      </c>
      <c r="P21" s="13"/>
      <c r="Q21" s="13"/>
      <c r="R21" s="13"/>
      <c r="S21" s="13"/>
      <c r="T21" s="13"/>
      <c r="U21" s="13"/>
      <c r="V21" s="16"/>
      <c r="W21" s="17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</row>
    <row r="22" spans="1:87" ht="27" customHeight="1" x14ac:dyDescent="0.25">
      <c r="A22" s="16">
        <v>54667</v>
      </c>
      <c r="B22" s="24" t="s">
        <v>148</v>
      </c>
      <c r="C22" s="1">
        <v>44991</v>
      </c>
      <c r="D22" s="25">
        <v>1</v>
      </c>
      <c r="E22" s="8">
        <f>2204236*5%</f>
        <v>110211.8</v>
      </c>
      <c r="F22" s="8">
        <v>68178</v>
      </c>
      <c r="G22" s="8">
        <f>ROUND(E22-F22,)</f>
        <v>42034</v>
      </c>
      <c r="H22" s="8">
        <f>ROUND(G22*$H$6,0)</f>
        <v>7566</v>
      </c>
      <c r="I22" s="8">
        <f>G22+H22</f>
        <v>49600</v>
      </c>
      <c r="J22" s="8">
        <f>ROUND(G22*$J$6,)</f>
        <v>420</v>
      </c>
      <c r="K22" s="8">
        <f>(G22*$K$6)</f>
        <v>2101.7000000000003</v>
      </c>
      <c r="L22" s="8">
        <f>ROUND(G22*$L$6,)</f>
        <v>4203</v>
      </c>
      <c r="M22" s="53">
        <f t="shared" ref="M22:M25" si="9">H22</f>
        <v>7566</v>
      </c>
      <c r="N22" s="8">
        <f t="shared" ref="N22:N25" si="10">ROUND(I22-SUM(J22:M22),0)</f>
        <v>35309</v>
      </c>
      <c r="O22" s="26"/>
      <c r="P22" s="8" t="s">
        <v>25</v>
      </c>
      <c r="Q22" s="8">
        <v>35309</v>
      </c>
      <c r="R22" s="8">
        <v>0</v>
      </c>
      <c r="S22" s="8">
        <v>0</v>
      </c>
      <c r="T22" s="8">
        <v>0</v>
      </c>
      <c r="U22" s="8">
        <f t="shared" ref="U22:U23" si="11">Q22-R22</f>
        <v>35309</v>
      </c>
      <c r="V22" s="18" t="s">
        <v>26</v>
      </c>
      <c r="W22" s="15"/>
    </row>
    <row r="23" spans="1:87" ht="27" customHeight="1" x14ac:dyDescent="0.25">
      <c r="A23" s="16">
        <v>54667</v>
      </c>
      <c r="B23" s="24" t="s">
        <v>148</v>
      </c>
      <c r="C23" s="1">
        <v>45054</v>
      </c>
      <c r="D23" s="25">
        <v>7</v>
      </c>
      <c r="E23" s="8">
        <v>220423</v>
      </c>
      <c r="F23" s="8">
        <v>76000</v>
      </c>
      <c r="G23" s="8">
        <f>ROUND(E23-F23,)</f>
        <v>144423</v>
      </c>
      <c r="H23" s="8">
        <f>ROUND(G23*$H$6,0)</f>
        <v>25996</v>
      </c>
      <c r="I23" s="8">
        <f>G23+H23</f>
        <v>170419</v>
      </c>
      <c r="J23" s="8">
        <f>ROUND(G23*$J$6,)</f>
        <v>1444</v>
      </c>
      <c r="K23" s="8">
        <f>(G23*$K$6)</f>
        <v>7221.1500000000005</v>
      </c>
      <c r="L23" s="8">
        <f>ROUND(G23*$L$6,)</f>
        <v>14442</v>
      </c>
      <c r="M23" s="13">
        <f t="shared" si="9"/>
        <v>25996</v>
      </c>
      <c r="N23" s="8">
        <f t="shared" si="10"/>
        <v>121316</v>
      </c>
      <c r="O23" s="26"/>
      <c r="P23" s="8" t="s">
        <v>27</v>
      </c>
      <c r="Q23" s="8">
        <v>7566</v>
      </c>
      <c r="R23" s="8">
        <v>0</v>
      </c>
      <c r="S23" s="8">
        <v>0</v>
      </c>
      <c r="T23" s="8">
        <v>0</v>
      </c>
      <c r="U23" s="8">
        <f t="shared" si="11"/>
        <v>7566</v>
      </c>
      <c r="V23" s="18" t="s">
        <v>28</v>
      </c>
      <c r="W23" s="15"/>
    </row>
    <row r="24" spans="1:87" ht="27" customHeight="1" x14ac:dyDescent="0.25">
      <c r="A24" s="16">
        <v>54667</v>
      </c>
      <c r="B24" s="24" t="s">
        <v>146</v>
      </c>
      <c r="C24" s="1"/>
      <c r="D24" s="25">
        <v>1</v>
      </c>
      <c r="E24" s="53">
        <f>H22</f>
        <v>7566</v>
      </c>
      <c r="F24" s="8"/>
      <c r="G24" s="8"/>
      <c r="H24" s="8"/>
      <c r="I24" s="8"/>
      <c r="J24" s="8"/>
      <c r="K24" s="8"/>
      <c r="L24" s="8"/>
      <c r="M24" s="8"/>
      <c r="N24" s="8">
        <f>E24</f>
        <v>7566</v>
      </c>
      <c r="O24" s="26"/>
      <c r="P24" s="8" t="s">
        <v>23</v>
      </c>
      <c r="Q24" s="8">
        <v>121317</v>
      </c>
      <c r="R24" s="8">
        <v>0</v>
      </c>
      <c r="S24" s="8">
        <v>0</v>
      </c>
      <c r="T24" s="8">
        <v>0</v>
      </c>
      <c r="U24" s="8">
        <v>121317</v>
      </c>
      <c r="V24" s="18" t="s">
        <v>24</v>
      </c>
      <c r="W24" s="15"/>
    </row>
    <row r="25" spans="1:87" ht="27" customHeight="1" x14ac:dyDescent="0.25">
      <c r="A25" s="16">
        <v>54667</v>
      </c>
      <c r="B25" s="24" t="s">
        <v>148</v>
      </c>
      <c r="C25" s="1">
        <v>45077</v>
      </c>
      <c r="D25" s="25">
        <v>14</v>
      </c>
      <c r="E25" s="8">
        <v>220423</v>
      </c>
      <c r="F25" s="8">
        <v>27991</v>
      </c>
      <c r="G25" s="8">
        <f>ROUND(E25-F25,)</f>
        <v>192432</v>
      </c>
      <c r="H25" s="8">
        <f>ROUND(G25*$H$6,0)</f>
        <v>34638</v>
      </c>
      <c r="I25" s="8">
        <f>G25+H25</f>
        <v>227070</v>
      </c>
      <c r="J25" s="8">
        <f>ROUND(G25*$J$6,)</f>
        <v>1924</v>
      </c>
      <c r="K25" s="8">
        <f>(G25*$K$6)</f>
        <v>9621.6</v>
      </c>
      <c r="L25" s="8">
        <f>ROUND(G25*$L$6,)</f>
        <v>19243</v>
      </c>
      <c r="M25" s="13">
        <f t="shared" si="9"/>
        <v>34638</v>
      </c>
      <c r="N25" s="8">
        <f t="shared" si="10"/>
        <v>161643</v>
      </c>
      <c r="O25" s="26"/>
      <c r="P25" s="8" t="s">
        <v>95</v>
      </c>
      <c r="Q25" s="8">
        <v>161643</v>
      </c>
      <c r="R25" s="8"/>
      <c r="S25" s="8"/>
      <c r="T25" s="8"/>
      <c r="U25" s="8">
        <v>161643</v>
      </c>
      <c r="V25" s="18" t="s">
        <v>29</v>
      </c>
      <c r="W25" s="15"/>
    </row>
    <row r="26" spans="1:87" ht="27" customHeight="1" x14ac:dyDescent="0.25">
      <c r="A26" s="16">
        <v>54667</v>
      </c>
      <c r="B26" s="24"/>
      <c r="C26" s="1"/>
      <c r="D26" s="25"/>
      <c r="E26" s="8"/>
      <c r="F26" s="8"/>
      <c r="G26" s="8"/>
      <c r="H26" s="8"/>
      <c r="I26" s="8"/>
      <c r="J26" s="8"/>
      <c r="K26" s="8"/>
      <c r="L26" s="8"/>
      <c r="M26" s="8"/>
      <c r="N26" s="8"/>
      <c r="O26" s="26"/>
      <c r="P26" s="8" t="s">
        <v>96</v>
      </c>
      <c r="Q26" s="8">
        <v>200000</v>
      </c>
      <c r="R26" s="8">
        <f>Q26*$R$6</f>
        <v>2000</v>
      </c>
      <c r="S26" s="8"/>
      <c r="T26" s="8"/>
      <c r="U26" s="8">
        <v>198000</v>
      </c>
      <c r="V26" s="18" t="s">
        <v>30</v>
      </c>
      <c r="W26" s="15"/>
    </row>
    <row r="27" spans="1:87" ht="27" customHeight="1" x14ac:dyDescent="0.25">
      <c r="A27" s="15"/>
      <c r="B27" s="24"/>
      <c r="C27" s="1"/>
      <c r="D27" s="25"/>
      <c r="E27" s="8"/>
      <c r="F27" s="8"/>
      <c r="G27" s="8"/>
      <c r="H27" s="8"/>
      <c r="I27" s="8"/>
      <c r="J27" s="8"/>
      <c r="K27" s="8"/>
      <c r="L27" s="8"/>
      <c r="M27" s="8"/>
      <c r="N27" s="8"/>
      <c r="O27" s="26"/>
      <c r="P27" s="8"/>
      <c r="Q27" s="8"/>
      <c r="R27" s="8"/>
      <c r="S27" s="8"/>
      <c r="T27" s="8"/>
      <c r="U27" s="8"/>
      <c r="V27" s="18"/>
      <c r="W27" s="15"/>
    </row>
    <row r="28" spans="1:87" s="11" customFormat="1" x14ac:dyDescent="0.2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52">
        <f>A29</f>
        <v>54668</v>
      </c>
      <c r="P28" s="13"/>
      <c r="Q28" s="13"/>
      <c r="R28" s="13"/>
      <c r="S28" s="13"/>
      <c r="T28" s="13"/>
      <c r="U28" s="13"/>
      <c r="V28" s="16"/>
      <c r="W28" s="17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</row>
    <row r="29" spans="1:87" ht="27" customHeight="1" x14ac:dyDescent="0.25">
      <c r="A29" s="16">
        <v>54668</v>
      </c>
      <c r="B29" s="24" t="s">
        <v>149</v>
      </c>
      <c r="C29" s="1">
        <v>44991</v>
      </c>
      <c r="D29" s="25">
        <v>8</v>
      </c>
      <c r="E29" s="8">
        <f>2204236*5%</f>
        <v>110211.8</v>
      </c>
      <c r="F29" s="8">
        <v>0</v>
      </c>
      <c r="G29" s="8">
        <f>ROUND(E29-F29,)</f>
        <v>110212</v>
      </c>
      <c r="H29" s="8">
        <f>ROUND(G29*$H$6,0)</f>
        <v>19838</v>
      </c>
      <c r="I29" s="8">
        <f>G29+H29</f>
        <v>130050</v>
      </c>
      <c r="J29" s="8">
        <f>ROUND(G29*$J$6,)</f>
        <v>1102</v>
      </c>
      <c r="K29" s="8">
        <f>(G29*$K$6)</f>
        <v>5510.6</v>
      </c>
      <c r="L29" s="8">
        <f>ROUND(G29*$L$6,)</f>
        <v>11021</v>
      </c>
      <c r="M29" s="53">
        <f>H29</f>
        <v>19838</v>
      </c>
      <c r="N29" s="8">
        <f>ROUND(I29-SUM(J29:M29),0)</f>
        <v>92578</v>
      </c>
      <c r="O29" s="26"/>
      <c r="P29" s="8" t="s">
        <v>31</v>
      </c>
      <c r="Q29" s="8">
        <v>116050</v>
      </c>
      <c r="R29" s="8">
        <v>0</v>
      </c>
      <c r="S29" s="8">
        <v>0</v>
      </c>
      <c r="T29" s="8">
        <v>0</v>
      </c>
      <c r="U29" s="8">
        <f t="shared" ref="U29:U31" si="12">Q29-R29</f>
        <v>116050</v>
      </c>
      <c r="V29" s="18" t="s">
        <v>32</v>
      </c>
      <c r="W29" s="15"/>
    </row>
    <row r="30" spans="1:87" ht="27" customHeight="1" x14ac:dyDescent="0.25">
      <c r="A30" s="16">
        <v>54668</v>
      </c>
      <c r="B30" s="24" t="s">
        <v>149</v>
      </c>
      <c r="C30" s="1">
        <v>45054</v>
      </c>
      <c r="D30" s="25">
        <v>5</v>
      </c>
      <c r="E30" s="8">
        <v>220423.6</v>
      </c>
      <c r="F30" s="8">
        <v>82268</v>
      </c>
      <c r="G30" s="8">
        <f>ROUND(E30-F30,)</f>
        <v>138156</v>
      </c>
      <c r="H30" s="8">
        <f>ROUND(G30*$H$6,0)</f>
        <v>24868</v>
      </c>
      <c r="I30" s="8">
        <f>G30+H30</f>
        <v>163024</v>
      </c>
      <c r="J30" s="8">
        <f>ROUND(G30*$J$6,)</f>
        <v>1382</v>
      </c>
      <c r="K30" s="8">
        <f>(G30*$K$6)</f>
        <v>6907.8</v>
      </c>
      <c r="L30" s="8">
        <f>ROUND(G30*$L$6,)</f>
        <v>13816</v>
      </c>
      <c r="M30" s="13">
        <f>H30</f>
        <v>24868</v>
      </c>
      <c r="N30" s="8">
        <f>ROUND(I30-SUM(J30:M30),0)</f>
        <v>116050</v>
      </c>
      <c r="O30" s="26"/>
      <c r="P30" s="8" t="s">
        <v>33</v>
      </c>
      <c r="Q30" s="8">
        <v>92578</v>
      </c>
      <c r="R30" s="8">
        <v>0</v>
      </c>
      <c r="S30" s="8">
        <v>0</v>
      </c>
      <c r="T30" s="8">
        <v>0</v>
      </c>
      <c r="U30" s="8">
        <f t="shared" si="12"/>
        <v>92578</v>
      </c>
      <c r="V30" s="18" t="s">
        <v>34</v>
      </c>
      <c r="W30" s="15"/>
    </row>
    <row r="31" spans="1:87" ht="27" customHeight="1" x14ac:dyDescent="0.25">
      <c r="A31" s="16">
        <v>54668</v>
      </c>
      <c r="B31" s="24" t="s">
        <v>146</v>
      </c>
      <c r="C31" s="1"/>
      <c r="D31" s="25">
        <v>8</v>
      </c>
      <c r="E31" s="53">
        <v>19838</v>
      </c>
      <c r="F31" s="8"/>
      <c r="G31" s="8"/>
      <c r="H31" s="8"/>
      <c r="I31" s="8"/>
      <c r="J31" s="8"/>
      <c r="K31" s="8"/>
      <c r="L31" s="8"/>
      <c r="M31" s="8"/>
      <c r="N31" s="8">
        <f>E31</f>
        <v>19838</v>
      </c>
      <c r="O31" s="26"/>
      <c r="P31" s="8" t="s">
        <v>35</v>
      </c>
      <c r="Q31" s="8">
        <v>19838</v>
      </c>
      <c r="R31" s="8">
        <v>0</v>
      </c>
      <c r="S31" s="8">
        <v>0</v>
      </c>
      <c r="T31" s="8">
        <v>0</v>
      </c>
      <c r="U31" s="8">
        <f t="shared" si="12"/>
        <v>19838</v>
      </c>
      <c r="V31" s="18" t="s">
        <v>36</v>
      </c>
      <c r="W31" s="15"/>
    </row>
    <row r="32" spans="1:87" ht="27" customHeight="1" x14ac:dyDescent="0.25">
      <c r="A32" s="16">
        <v>54668</v>
      </c>
      <c r="B32" s="24" t="s">
        <v>149</v>
      </c>
      <c r="C32" s="1">
        <v>45077</v>
      </c>
      <c r="D32" s="25">
        <v>15</v>
      </c>
      <c r="E32" s="8">
        <v>220423.6</v>
      </c>
      <c r="F32" s="8">
        <v>24191</v>
      </c>
      <c r="G32" s="8">
        <f>ROUND(E32-F32,)</f>
        <v>196233</v>
      </c>
      <c r="H32" s="8">
        <f>ROUND(G32*$H$6,0)</f>
        <v>35322</v>
      </c>
      <c r="I32" s="8">
        <f>G32+H32</f>
        <v>231555</v>
      </c>
      <c r="J32" s="8">
        <f>ROUND(G32*$J$6,)</f>
        <v>1962</v>
      </c>
      <c r="K32" s="8">
        <f>(G32*$K$6)</f>
        <v>9811.65</v>
      </c>
      <c r="L32" s="8">
        <f>ROUND(G32*$L$6,)</f>
        <v>19623</v>
      </c>
      <c r="M32" s="13">
        <f>H32</f>
        <v>35322</v>
      </c>
      <c r="N32" s="8">
        <f>ROUND(I32-SUM(J32:M32),0)</f>
        <v>164836</v>
      </c>
      <c r="O32" s="26"/>
      <c r="P32" s="8" t="s">
        <v>122</v>
      </c>
      <c r="Q32" s="8">
        <v>164835</v>
      </c>
      <c r="R32" s="8">
        <v>0</v>
      </c>
      <c r="S32" s="8"/>
      <c r="T32" s="8"/>
      <c r="U32" s="8">
        <v>164835</v>
      </c>
      <c r="V32" s="18" t="s">
        <v>37</v>
      </c>
      <c r="W32" s="15"/>
    </row>
    <row r="33" spans="1:87" ht="27" customHeight="1" x14ac:dyDescent="0.25">
      <c r="A33" s="16">
        <v>54668</v>
      </c>
      <c r="B33" s="24" t="s">
        <v>149</v>
      </c>
      <c r="C33" s="1">
        <v>45127</v>
      </c>
      <c r="D33" s="25">
        <v>30</v>
      </c>
      <c r="E33" s="8">
        <v>67691</v>
      </c>
      <c r="F33" s="8"/>
      <c r="G33" s="8">
        <f t="shared" ref="G33" si="13">ROUND(E33-F33,)</f>
        <v>67691</v>
      </c>
      <c r="H33" s="8">
        <f t="shared" ref="H33" si="14">ROUND(G33*$H$6,0)</f>
        <v>12184</v>
      </c>
      <c r="I33" s="8">
        <f t="shared" ref="I33" si="15">G33+H33</f>
        <v>79875</v>
      </c>
      <c r="J33" s="8">
        <f t="shared" ref="J33" si="16">ROUND(G33*$J$6,)</f>
        <v>677</v>
      </c>
      <c r="K33" s="8">
        <f t="shared" ref="K33" si="17">ROUND(G33*$K$6,)</f>
        <v>3385</v>
      </c>
      <c r="L33" s="8">
        <f t="shared" ref="L33" si="18">ROUND(G33*$L$6,)</f>
        <v>6769</v>
      </c>
      <c r="M33" s="13">
        <f>H33</f>
        <v>12184</v>
      </c>
      <c r="N33" s="8">
        <f>ROUND(I33-SUM(J33:M33),0)</f>
        <v>56860</v>
      </c>
      <c r="O33" s="15"/>
      <c r="P33" s="8" t="s">
        <v>123</v>
      </c>
      <c r="Q33" s="8">
        <v>200000</v>
      </c>
      <c r="R33" s="8">
        <f>Q33*$R$6</f>
        <v>2000</v>
      </c>
      <c r="S33" s="8"/>
      <c r="T33" s="8"/>
      <c r="U33" s="8">
        <v>198000</v>
      </c>
      <c r="V33" s="18" t="s">
        <v>38</v>
      </c>
      <c r="W33" s="15"/>
    </row>
    <row r="34" spans="1:87" ht="27" customHeight="1" x14ac:dyDescent="0.25">
      <c r="A34" s="16">
        <v>54668</v>
      </c>
      <c r="B34" s="24" t="s">
        <v>146</v>
      </c>
      <c r="C34" s="1"/>
      <c r="D34" s="25"/>
      <c r="E34" s="8"/>
      <c r="F34" s="8"/>
      <c r="G34" s="8"/>
      <c r="H34" s="8"/>
      <c r="I34" s="8"/>
      <c r="J34" s="8"/>
      <c r="K34" s="8"/>
      <c r="L34" s="8"/>
      <c r="M34" s="8"/>
      <c r="N34" s="8"/>
      <c r="O34" s="26"/>
      <c r="P34" s="8"/>
      <c r="Q34" s="8"/>
      <c r="R34" s="8"/>
      <c r="S34" s="8"/>
      <c r="T34" s="8"/>
      <c r="U34" s="8"/>
      <c r="V34" s="18"/>
      <c r="W34" s="15"/>
    </row>
    <row r="35" spans="1:87" ht="27" customHeight="1" x14ac:dyDescent="0.25">
      <c r="A35" s="16">
        <v>54668</v>
      </c>
      <c r="B35" s="24" t="s">
        <v>146</v>
      </c>
      <c r="C35" s="1"/>
      <c r="D35" s="25"/>
      <c r="E35" s="8"/>
      <c r="F35" s="8"/>
      <c r="G35" s="8"/>
      <c r="H35" s="8"/>
      <c r="I35" s="8"/>
      <c r="J35" s="8"/>
      <c r="K35" s="8"/>
      <c r="L35" s="8"/>
      <c r="M35" s="8"/>
      <c r="N35" s="8"/>
      <c r="O35" s="26"/>
      <c r="P35" s="8"/>
      <c r="Q35" s="8"/>
      <c r="R35" s="8"/>
      <c r="S35" s="8"/>
      <c r="T35" s="8"/>
      <c r="U35" s="8"/>
      <c r="V35" s="18"/>
      <c r="W35" s="15"/>
    </row>
    <row r="36" spans="1:87" s="11" customFormat="1" x14ac:dyDescent="0.25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52">
        <f>A37</f>
        <v>55306</v>
      </c>
      <c r="P36" s="13"/>
      <c r="Q36" s="13"/>
      <c r="R36" s="13"/>
      <c r="S36" s="13"/>
      <c r="T36" s="13"/>
      <c r="U36" s="13"/>
      <c r="V36" s="16"/>
      <c r="W36" s="16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</row>
    <row r="37" spans="1:87" ht="27" customHeight="1" x14ac:dyDescent="0.25">
      <c r="A37" s="16">
        <v>55306</v>
      </c>
      <c r="B37" s="24" t="s">
        <v>150</v>
      </c>
      <c r="C37" s="1">
        <v>44991</v>
      </c>
      <c r="D37" s="25">
        <v>6</v>
      </c>
      <c r="E37" s="8">
        <f>(119.55*3500)*60%</f>
        <v>251055</v>
      </c>
      <c r="F37" s="8">
        <v>127058</v>
      </c>
      <c r="G37" s="8">
        <f>ROUND(E37-F37,)</f>
        <v>123997</v>
      </c>
      <c r="H37" s="8">
        <f>ROUND(G37*$H$6,0)</f>
        <v>22319</v>
      </c>
      <c r="I37" s="8">
        <f>G37+H37</f>
        <v>146316</v>
      </c>
      <c r="J37" s="8">
        <f>ROUND(G37*$J$6,)</f>
        <v>1240</v>
      </c>
      <c r="K37" s="8">
        <f>(G37*10%)</f>
        <v>12399.7</v>
      </c>
      <c r="L37" s="8">
        <v>0</v>
      </c>
      <c r="M37" s="53">
        <f>H37</f>
        <v>22319</v>
      </c>
      <c r="N37" s="8">
        <f>ROUND(I37-SUM(J37:M37),0)</f>
        <v>110357</v>
      </c>
      <c r="O37" s="26"/>
      <c r="P37" s="8" t="s">
        <v>39</v>
      </c>
      <c r="Q37" s="8">
        <v>110357</v>
      </c>
      <c r="R37" s="8">
        <v>0</v>
      </c>
      <c r="S37" s="8">
        <v>0</v>
      </c>
      <c r="T37" s="8">
        <v>0</v>
      </c>
      <c r="U37" s="8">
        <f t="shared" ref="U37:U38" si="19">Q37-R37</f>
        <v>110357</v>
      </c>
      <c r="V37" s="18" t="s">
        <v>40</v>
      </c>
      <c r="W37" s="15"/>
    </row>
    <row r="38" spans="1:87" ht="27" customHeight="1" x14ac:dyDescent="0.25">
      <c r="A38" s="16">
        <v>55306</v>
      </c>
      <c r="B38" s="24" t="s">
        <v>150</v>
      </c>
      <c r="C38" s="1">
        <v>45029</v>
      </c>
      <c r="D38" s="25">
        <v>2</v>
      </c>
      <c r="E38" s="8">
        <f>(119.55*3500)*20%</f>
        <v>83685</v>
      </c>
      <c r="F38" s="8">
        <v>0</v>
      </c>
      <c r="G38" s="8">
        <f>ROUND(E38-F38,)</f>
        <v>83685</v>
      </c>
      <c r="H38" s="8">
        <f>ROUND(G38*$H$6,0)</f>
        <v>15063</v>
      </c>
      <c r="I38" s="8">
        <f>G38+H38</f>
        <v>98748</v>
      </c>
      <c r="J38" s="8">
        <f>ROUND(G38*$J$6,)</f>
        <v>837</v>
      </c>
      <c r="K38" s="8">
        <f>(G38*10%)</f>
        <v>8368.5</v>
      </c>
      <c r="L38" s="8">
        <v>0</v>
      </c>
      <c r="M38" s="53">
        <f>H38</f>
        <v>15063</v>
      </c>
      <c r="N38" s="8">
        <f>ROUND(I38-SUM(J38:M38),0)</f>
        <v>74480</v>
      </c>
      <c r="O38" s="26"/>
      <c r="P38" s="8" t="s">
        <v>41</v>
      </c>
      <c r="Q38" s="8">
        <v>74479</v>
      </c>
      <c r="R38" s="8">
        <v>0</v>
      </c>
      <c r="S38" s="8">
        <v>0</v>
      </c>
      <c r="T38" s="8">
        <v>0</v>
      </c>
      <c r="U38" s="8">
        <f t="shared" si="19"/>
        <v>74479</v>
      </c>
      <c r="V38" s="18" t="s">
        <v>42</v>
      </c>
      <c r="W38" s="15"/>
    </row>
    <row r="39" spans="1:87" ht="27" customHeight="1" x14ac:dyDescent="0.25">
      <c r="A39" s="16">
        <v>55306</v>
      </c>
      <c r="B39" s="24" t="s">
        <v>146</v>
      </c>
      <c r="C39" s="29"/>
      <c r="D39" s="25">
        <v>6</v>
      </c>
      <c r="E39" s="53">
        <v>22319</v>
      </c>
      <c r="F39" s="8"/>
      <c r="G39" s="8">
        <v>0</v>
      </c>
      <c r="H39" s="8">
        <f t="shared" ref="H39:H40" si="20">ROUND(G39*$H$6,0)</f>
        <v>0</v>
      </c>
      <c r="I39" s="8">
        <f t="shared" ref="I39:I40" si="21">G39+H39</f>
        <v>0</v>
      </c>
      <c r="J39" s="8">
        <f t="shared" ref="J39:J40" si="22">ROUND(G39*$J$6,)</f>
        <v>0</v>
      </c>
      <c r="K39" s="8">
        <f t="shared" ref="K39:K40" si="23">ROUND(G39*$K$6,)</f>
        <v>0</v>
      </c>
      <c r="L39" s="8">
        <f>ROUND(G39*$L$6,)</f>
        <v>0</v>
      </c>
      <c r="M39" s="8">
        <f>H39</f>
        <v>0</v>
      </c>
      <c r="N39" s="8">
        <f>E39</f>
        <v>22319</v>
      </c>
      <c r="O39" s="26"/>
      <c r="P39" s="8" t="s">
        <v>43</v>
      </c>
      <c r="Q39" s="8">
        <v>22319</v>
      </c>
      <c r="R39" s="8">
        <v>0</v>
      </c>
      <c r="S39" s="8">
        <v>0</v>
      </c>
      <c r="T39" s="8">
        <v>0</v>
      </c>
      <c r="U39" s="8">
        <f>Q39-R39-S39-T39</f>
        <v>22319</v>
      </c>
      <c r="V39" s="18" t="s">
        <v>44</v>
      </c>
      <c r="W39" s="15"/>
    </row>
    <row r="40" spans="1:87" ht="27" customHeight="1" x14ac:dyDescent="0.25">
      <c r="A40" s="16">
        <v>55306</v>
      </c>
      <c r="B40" s="24" t="s">
        <v>146</v>
      </c>
      <c r="C40" s="29"/>
      <c r="D40" s="25">
        <v>2</v>
      </c>
      <c r="E40" s="53">
        <v>15063</v>
      </c>
      <c r="F40" s="8"/>
      <c r="G40" s="8">
        <v>0</v>
      </c>
      <c r="H40" s="8">
        <f t="shared" si="20"/>
        <v>0</v>
      </c>
      <c r="I40" s="8">
        <f t="shared" si="21"/>
        <v>0</v>
      </c>
      <c r="J40" s="8">
        <f t="shared" si="22"/>
        <v>0</v>
      </c>
      <c r="K40" s="8">
        <f t="shared" si="23"/>
        <v>0</v>
      </c>
      <c r="L40" s="8">
        <f t="shared" ref="L40" si="24">ROUND(G40*$L$6,)</f>
        <v>0</v>
      </c>
      <c r="M40" s="8">
        <f t="shared" ref="M40" si="25">ROUND(G40*$M$6,)</f>
        <v>0</v>
      </c>
      <c r="N40" s="8">
        <f>E40</f>
        <v>15063</v>
      </c>
      <c r="O40" s="15"/>
      <c r="P40" s="8" t="s">
        <v>124</v>
      </c>
      <c r="Q40" s="8">
        <v>15063</v>
      </c>
      <c r="R40" s="8"/>
      <c r="S40" s="8"/>
      <c r="T40" s="8"/>
      <c r="U40" s="8">
        <v>15063</v>
      </c>
      <c r="V40" s="18" t="s">
        <v>117</v>
      </c>
      <c r="W40" s="15"/>
    </row>
    <row r="41" spans="1:87" s="11" customFormat="1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52">
        <f>A42</f>
        <v>55596</v>
      </c>
      <c r="P41" s="13"/>
      <c r="Q41" s="13"/>
      <c r="R41" s="13"/>
      <c r="S41" s="13"/>
      <c r="T41" s="13"/>
      <c r="U41" s="13"/>
      <c r="V41" s="16"/>
      <c r="W41" s="16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</row>
    <row r="42" spans="1:87" ht="27" customHeight="1" x14ac:dyDescent="0.25">
      <c r="A42" s="16">
        <v>55596</v>
      </c>
      <c r="B42" s="24" t="s">
        <v>181</v>
      </c>
      <c r="C42" s="1">
        <v>44991</v>
      </c>
      <c r="D42" s="25">
        <v>7</v>
      </c>
      <c r="E42" s="8">
        <f>2204236*5%</f>
        <v>110211.8</v>
      </c>
      <c r="F42" s="8">
        <v>0</v>
      </c>
      <c r="G42" s="8">
        <f>ROUND(E42-F42,)</f>
        <v>110212</v>
      </c>
      <c r="H42" s="8">
        <f>ROUND(G42*$H$6,0)</f>
        <v>19838</v>
      </c>
      <c r="I42" s="8">
        <f>G42+H42</f>
        <v>130050</v>
      </c>
      <c r="J42" s="8">
        <f>ROUND(G42*$J$6,)</f>
        <v>1102</v>
      </c>
      <c r="K42" s="8">
        <f>(G42*$K$6)</f>
        <v>5510.6</v>
      </c>
      <c r="L42" s="8">
        <f>ROUND(G42*$L$6,)</f>
        <v>11021</v>
      </c>
      <c r="M42" s="53">
        <f>H42</f>
        <v>19838</v>
      </c>
      <c r="N42" s="8">
        <f>ROUND(I42-SUM(J42:M42),0)</f>
        <v>92578</v>
      </c>
      <c r="O42" s="26"/>
      <c r="P42" s="8" t="s">
        <v>45</v>
      </c>
      <c r="Q42" s="8">
        <v>92578</v>
      </c>
      <c r="R42" s="8">
        <v>0</v>
      </c>
      <c r="S42" s="8">
        <v>0</v>
      </c>
      <c r="T42" s="8">
        <v>0</v>
      </c>
      <c r="U42" s="8">
        <f t="shared" ref="U42:U44" si="26">Q42-R42</f>
        <v>92578</v>
      </c>
      <c r="V42" s="18" t="s">
        <v>46</v>
      </c>
      <c r="W42" s="15"/>
    </row>
    <row r="43" spans="1:87" ht="27" customHeight="1" x14ac:dyDescent="0.25">
      <c r="A43" s="16">
        <v>55596</v>
      </c>
      <c r="B43" s="24" t="s">
        <v>146</v>
      </c>
      <c r="C43" s="1"/>
      <c r="D43" s="25">
        <v>7</v>
      </c>
      <c r="E43" s="53">
        <v>19838</v>
      </c>
      <c r="F43" s="8"/>
      <c r="G43" s="8">
        <v>0</v>
      </c>
      <c r="H43" s="8"/>
      <c r="I43" s="8">
        <f t="shared" ref="I43" si="27">G43+H43</f>
        <v>0</v>
      </c>
      <c r="J43" s="8">
        <v>0</v>
      </c>
      <c r="K43" s="8">
        <v>0</v>
      </c>
      <c r="L43" s="8">
        <v>0</v>
      </c>
      <c r="M43" s="8">
        <f>H43</f>
        <v>0</v>
      </c>
      <c r="N43" s="8">
        <f>E43</f>
        <v>19838</v>
      </c>
      <c r="O43" s="26"/>
      <c r="P43" s="8" t="s">
        <v>47</v>
      </c>
      <c r="Q43" s="8">
        <v>19838</v>
      </c>
      <c r="R43" s="8">
        <v>0</v>
      </c>
      <c r="S43" s="8">
        <v>0</v>
      </c>
      <c r="T43" s="8">
        <v>0</v>
      </c>
      <c r="U43" s="8">
        <f t="shared" si="26"/>
        <v>19838</v>
      </c>
      <c r="V43" s="18" t="s">
        <v>48</v>
      </c>
      <c r="W43" s="15"/>
    </row>
    <row r="44" spans="1:87" ht="27" customHeight="1" x14ac:dyDescent="0.25">
      <c r="A44" s="16">
        <v>55596</v>
      </c>
      <c r="B44" s="24" t="s">
        <v>181</v>
      </c>
      <c r="C44" s="1">
        <v>45127</v>
      </c>
      <c r="D44" s="25">
        <v>7</v>
      </c>
      <c r="E44" s="8">
        <v>13538</v>
      </c>
      <c r="F44" s="8">
        <v>0</v>
      </c>
      <c r="G44" s="8">
        <f>ROUND(E44-F44,)</f>
        <v>13538</v>
      </c>
      <c r="H44" s="8">
        <f>ROUND(G44*$H$6,0)</f>
        <v>2437</v>
      </c>
      <c r="I44" s="8">
        <f>G44+H44</f>
        <v>15975</v>
      </c>
      <c r="J44" s="8">
        <f>ROUND(G44*$J$6,)</f>
        <v>135</v>
      </c>
      <c r="K44" s="8">
        <f>(G44*$K$6)</f>
        <v>676.90000000000009</v>
      </c>
      <c r="L44" s="8">
        <f>ROUND(G44*$L$6,)</f>
        <v>1354</v>
      </c>
      <c r="M44" s="13">
        <f>H44</f>
        <v>2437</v>
      </c>
      <c r="N44" s="8">
        <f>ROUND(I44-SUM(J44:M44),0)</f>
        <v>11372</v>
      </c>
      <c r="O44" s="26"/>
      <c r="P44" s="8" t="s">
        <v>98</v>
      </c>
      <c r="Q44" s="8">
        <v>11372</v>
      </c>
      <c r="R44" s="8"/>
      <c r="S44" s="8"/>
      <c r="T44" s="8"/>
      <c r="U44" s="8">
        <f t="shared" si="26"/>
        <v>11372</v>
      </c>
      <c r="V44" s="18" t="s">
        <v>97</v>
      </c>
      <c r="W44" s="15"/>
    </row>
    <row r="45" spans="1:87" s="11" customFormat="1" x14ac:dyDescent="0.25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52">
        <f>A46</f>
        <v>55598</v>
      </c>
      <c r="P45" s="13"/>
      <c r="Q45" s="13"/>
      <c r="R45" s="13"/>
      <c r="S45" s="13"/>
      <c r="T45" s="13"/>
      <c r="U45" s="13"/>
      <c r="V45" s="16"/>
      <c r="W45" s="16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</row>
    <row r="46" spans="1:87" ht="27" customHeight="1" x14ac:dyDescent="0.25">
      <c r="A46" s="16">
        <v>55598</v>
      </c>
      <c r="B46" s="24" t="s">
        <v>151</v>
      </c>
      <c r="C46" s="1">
        <v>44991</v>
      </c>
      <c r="D46" s="25">
        <v>4</v>
      </c>
      <c r="E46" s="8">
        <f>1575000*5%</f>
        <v>78750</v>
      </c>
      <c r="F46" s="8">
        <v>30892</v>
      </c>
      <c r="G46" s="8">
        <f>ROUND(E46-F46,)</f>
        <v>47858</v>
      </c>
      <c r="H46" s="8">
        <f>ROUND(G46*$H$6,0)</f>
        <v>8614</v>
      </c>
      <c r="I46" s="8">
        <f>G46+H46</f>
        <v>56472</v>
      </c>
      <c r="J46" s="8">
        <f>ROUND(G46*$J$6,)</f>
        <v>479</v>
      </c>
      <c r="K46" s="8">
        <f>(G46*$K$6)</f>
        <v>2392.9</v>
      </c>
      <c r="L46" s="8">
        <f>ROUND(G46*$L$6,)</f>
        <v>4786</v>
      </c>
      <c r="M46" s="53">
        <f>H46</f>
        <v>8614</v>
      </c>
      <c r="N46" s="8">
        <f>ROUND(I46-SUM(J46:M46),0)</f>
        <v>40200</v>
      </c>
      <c r="O46" s="26"/>
      <c r="P46" s="8" t="s">
        <v>49</v>
      </c>
      <c r="Q46" s="8">
        <v>40200</v>
      </c>
      <c r="R46" s="8">
        <v>0</v>
      </c>
      <c r="S46" s="8">
        <v>0</v>
      </c>
      <c r="T46" s="8">
        <v>0</v>
      </c>
      <c r="U46" s="8">
        <f t="shared" ref="U46:U47" si="28">Q46-R46</f>
        <v>40200</v>
      </c>
      <c r="V46" s="18" t="s">
        <v>50</v>
      </c>
      <c r="W46" s="15"/>
    </row>
    <row r="47" spans="1:87" ht="27" customHeight="1" x14ac:dyDescent="0.25">
      <c r="A47" s="16">
        <v>55598</v>
      </c>
      <c r="B47" s="24" t="s">
        <v>146</v>
      </c>
      <c r="C47" s="1"/>
      <c r="D47" s="25">
        <v>4</v>
      </c>
      <c r="E47" s="53">
        <v>8614</v>
      </c>
      <c r="F47" s="8"/>
      <c r="G47" s="8">
        <v>0</v>
      </c>
      <c r="H47" s="8"/>
      <c r="I47" s="8">
        <f t="shared" ref="I47" si="29">G47+H47</f>
        <v>0</v>
      </c>
      <c r="J47" s="8">
        <v>0</v>
      </c>
      <c r="K47" s="8">
        <v>0</v>
      </c>
      <c r="L47" s="8">
        <v>0</v>
      </c>
      <c r="M47" s="8">
        <f>H47</f>
        <v>0</v>
      </c>
      <c r="N47" s="8">
        <f>E47</f>
        <v>8614</v>
      </c>
      <c r="O47" s="26"/>
      <c r="P47" s="8" t="s">
        <v>51</v>
      </c>
      <c r="Q47" s="8">
        <v>8614</v>
      </c>
      <c r="R47" s="8">
        <v>0</v>
      </c>
      <c r="S47" s="8">
        <v>0</v>
      </c>
      <c r="T47" s="8">
        <v>0</v>
      </c>
      <c r="U47" s="8">
        <f t="shared" si="28"/>
        <v>8614</v>
      </c>
      <c r="V47" s="18" t="s">
        <v>52</v>
      </c>
      <c r="W47" s="15"/>
    </row>
    <row r="48" spans="1:87" ht="27" customHeight="1" x14ac:dyDescent="0.25">
      <c r="A48" s="16">
        <v>55598</v>
      </c>
      <c r="B48" s="24" t="s">
        <v>151</v>
      </c>
      <c r="C48" s="1">
        <v>45127</v>
      </c>
      <c r="D48" s="25">
        <v>34</v>
      </c>
      <c r="E48" s="8">
        <v>6562.5</v>
      </c>
      <c r="F48" s="8"/>
      <c r="G48" s="8">
        <f t="shared" ref="G48" si="30">ROUND(E48-F48,)</f>
        <v>6563</v>
      </c>
      <c r="H48" s="8">
        <f t="shared" ref="H48" si="31">ROUND(G48*$H$6,0)</f>
        <v>1181</v>
      </c>
      <c r="I48" s="8">
        <f>G48+H48</f>
        <v>7744</v>
      </c>
      <c r="J48" s="8">
        <f t="shared" ref="J48" si="32">ROUND(G48*$J$6,)</f>
        <v>66</v>
      </c>
      <c r="K48" s="8">
        <f t="shared" ref="K48" si="33">ROUND(G48*$K$6,)</f>
        <v>328</v>
      </c>
      <c r="L48" s="8">
        <f t="shared" ref="L48" si="34">ROUND(G48*$L$6,)</f>
        <v>656</v>
      </c>
      <c r="M48" s="13">
        <f t="shared" ref="M48" si="35">ROUND(G48*$M$6,)</f>
        <v>1181</v>
      </c>
      <c r="N48" s="8">
        <f>ROUND(I48-SUM(J48:M48),0)</f>
        <v>5513</v>
      </c>
      <c r="O48" s="54" t="s">
        <v>131</v>
      </c>
      <c r="P48" s="8"/>
      <c r="Q48" s="8"/>
      <c r="R48" s="8"/>
      <c r="S48" s="8"/>
      <c r="T48" s="8"/>
      <c r="U48" s="8"/>
      <c r="V48" s="18"/>
      <c r="W48" s="15"/>
    </row>
    <row r="49" spans="1:87" ht="27" customHeight="1" x14ac:dyDescent="0.25">
      <c r="A49" s="15"/>
      <c r="B49" s="24"/>
      <c r="C49" s="1"/>
      <c r="D49" s="25"/>
      <c r="E49" s="8"/>
      <c r="F49" s="8"/>
      <c r="G49" s="8"/>
      <c r="H49" s="8"/>
      <c r="I49" s="8"/>
      <c r="J49" s="8"/>
      <c r="K49" s="8"/>
      <c r="L49" s="8"/>
      <c r="M49" s="8"/>
      <c r="N49" s="8"/>
      <c r="O49" s="26"/>
      <c r="P49" s="8"/>
      <c r="Q49" s="8"/>
      <c r="R49" s="8"/>
      <c r="S49" s="8"/>
      <c r="T49" s="8"/>
      <c r="U49" s="8"/>
      <c r="V49" s="18"/>
      <c r="W49" s="15"/>
    </row>
    <row r="50" spans="1:87" s="11" customFormat="1" x14ac:dyDescent="0.25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52">
        <f>A51</f>
        <v>55599</v>
      </c>
      <c r="P50" s="13"/>
      <c r="Q50" s="13"/>
      <c r="R50" s="13"/>
      <c r="S50" s="13"/>
      <c r="T50" s="13"/>
      <c r="U50" s="13"/>
      <c r="V50" s="16"/>
      <c r="W50" s="56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</row>
    <row r="51" spans="1:87" ht="27" customHeight="1" x14ac:dyDescent="0.25">
      <c r="A51" s="16">
        <v>55599</v>
      </c>
      <c r="B51" s="24" t="s">
        <v>152</v>
      </c>
      <c r="C51" s="1">
        <v>44991</v>
      </c>
      <c r="D51" s="25">
        <v>5</v>
      </c>
      <c r="E51" s="8">
        <f>(121.7*3500)*60%</f>
        <v>255570</v>
      </c>
      <c r="F51" s="8">
        <v>70124</v>
      </c>
      <c r="G51" s="8">
        <f>ROUND(E51-F51,)</f>
        <v>185446</v>
      </c>
      <c r="H51" s="8">
        <f>ROUND(G51*$H$6,0)</f>
        <v>33380</v>
      </c>
      <c r="I51" s="8">
        <f>G51+H51</f>
        <v>218826</v>
      </c>
      <c r="J51" s="8">
        <f>ROUND(G51*$J$6,)</f>
        <v>1854</v>
      </c>
      <c r="K51" s="8">
        <f>(G51*10%)</f>
        <v>18544.600000000002</v>
      </c>
      <c r="L51" s="8">
        <v>0</v>
      </c>
      <c r="M51" s="53">
        <f>H51</f>
        <v>33380</v>
      </c>
      <c r="N51" s="8">
        <f>ROUND(I51-SUM(J51:M51),0)</f>
        <v>165047</v>
      </c>
      <c r="O51" s="26"/>
      <c r="P51" s="8" t="s">
        <v>53</v>
      </c>
      <c r="Q51" s="8">
        <v>165047</v>
      </c>
      <c r="R51" s="8">
        <v>0</v>
      </c>
      <c r="S51" s="8">
        <v>0</v>
      </c>
      <c r="T51" s="8">
        <v>0</v>
      </c>
      <c r="U51" s="8">
        <f t="shared" ref="U51" si="36">Q51-R51</f>
        <v>165047</v>
      </c>
      <c r="V51" s="18" t="s">
        <v>54</v>
      </c>
      <c r="W51" s="15"/>
    </row>
    <row r="52" spans="1:87" ht="27" customHeight="1" x14ac:dyDescent="0.25">
      <c r="A52" s="16">
        <v>55599</v>
      </c>
      <c r="B52" s="24" t="s">
        <v>152</v>
      </c>
      <c r="C52" s="1">
        <v>45029</v>
      </c>
      <c r="D52" s="25">
        <v>3</v>
      </c>
      <c r="E52" s="8">
        <f>(121.7*3500)*20%</f>
        <v>85190</v>
      </c>
      <c r="F52" s="8">
        <v>0</v>
      </c>
      <c r="G52" s="8">
        <f>ROUND(E52-F52,)</f>
        <v>85190</v>
      </c>
      <c r="H52" s="8">
        <f>ROUND(G52*$H$6,0)</f>
        <v>15334</v>
      </c>
      <c r="I52" s="8">
        <f>G52+H52</f>
        <v>100524</v>
      </c>
      <c r="J52" s="8">
        <f>ROUND(G52*$J$6,)</f>
        <v>852</v>
      </c>
      <c r="K52" s="8">
        <f>(G52*10%)</f>
        <v>8519</v>
      </c>
      <c r="L52" s="8">
        <v>0</v>
      </c>
      <c r="M52" s="53">
        <f>H52</f>
        <v>15334</v>
      </c>
      <c r="N52" s="8">
        <f>ROUND(I52-SUM(J52:M52),0)</f>
        <v>75819</v>
      </c>
      <c r="O52" s="26"/>
      <c r="P52" s="8" t="s">
        <v>99</v>
      </c>
      <c r="Q52" s="8">
        <v>75819</v>
      </c>
      <c r="R52" s="8">
        <v>0</v>
      </c>
      <c r="S52" s="8">
        <v>0</v>
      </c>
      <c r="T52" s="8">
        <v>0</v>
      </c>
      <c r="U52" s="8">
        <v>75819</v>
      </c>
      <c r="V52" s="18" t="s">
        <v>55</v>
      </c>
      <c r="W52" s="15"/>
    </row>
    <row r="53" spans="1:87" ht="27" customHeight="1" x14ac:dyDescent="0.25">
      <c r="A53" s="16">
        <v>55599</v>
      </c>
      <c r="B53" s="24" t="s">
        <v>146</v>
      </c>
      <c r="C53" s="29"/>
      <c r="D53" s="25">
        <v>5</v>
      </c>
      <c r="E53" s="53">
        <v>33380</v>
      </c>
      <c r="F53" s="8"/>
      <c r="G53" s="8"/>
      <c r="H53" s="8"/>
      <c r="I53" s="8"/>
      <c r="J53" s="8"/>
      <c r="K53" s="8"/>
      <c r="L53" s="8"/>
      <c r="M53" s="8"/>
      <c r="N53" s="8">
        <f>E53</f>
        <v>33380</v>
      </c>
      <c r="O53" s="26"/>
      <c r="P53" s="8" t="s">
        <v>100</v>
      </c>
      <c r="Q53" s="8">
        <v>33380</v>
      </c>
      <c r="R53" s="8">
        <v>0</v>
      </c>
      <c r="S53" s="8">
        <v>0</v>
      </c>
      <c r="T53" s="8">
        <v>0</v>
      </c>
      <c r="U53" s="8">
        <v>33380</v>
      </c>
      <c r="V53" s="18" t="s">
        <v>56</v>
      </c>
      <c r="W53" s="15"/>
    </row>
    <row r="54" spans="1:87" ht="27" customHeight="1" x14ac:dyDescent="0.25">
      <c r="A54" s="16">
        <v>55599</v>
      </c>
      <c r="B54" s="24" t="s">
        <v>146</v>
      </c>
      <c r="C54" s="1">
        <v>45196</v>
      </c>
      <c r="D54" s="25">
        <v>3</v>
      </c>
      <c r="E54" s="53">
        <v>15334</v>
      </c>
      <c r="F54" s="8"/>
      <c r="G54" s="8"/>
      <c r="H54" s="8"/>
      <c r="I54" s="8"/>
      <c r="J54" s="8"/>
      <c r="K54" s="8"/>
      <c r="L54" s="8"/>
      <c r="M54" s="8"/>
      <c r="N54" s="8">
        <f>E54</f>
        <v>15334</v>
      </c>
      <c r="O54" s="15"/>
      <c r="P54" s="8" t="s">
        <v>125</v>
      </c>
      <c r="Q54" s="8">
        <v>15334</v>
      </c>
      <c r="R54" s="8"/>
      <c r="S54" s="8"/>
      <c r="T54" s="8"/>
      <c r="U54" s="8">
        <v>15334</v>
      </c>
      <c r="V54" s="18" t="s">
        <v>116</v>
      </c>
      <c r="W54" s="15"/>
    </row>
    <row r="55" spans="1:87" s="11" customFormat="1" x14ac:dyDescent="0.25"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52">
        <f>A56</f>
        <v>56459</v>
      </c>
      <c r="P55" s="13"/>
      <c r="Q55" s="13"/>
      <c r="R55" s="13"/>
      <c r="S55" s="13"/>
      <c r="T55" s="13"/>
      <c r="U55" s="13"/>
      <c r="V55" s="16"/>
      <c r="W55" s="16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</row>
    <row r="56" spans="1:87" ht="27" customHeight="1" x14ac:dyDescent="0.25">
      <c r="A56" s="16">
        <v>56459</v>
      </c>
      <c r="B56" s="24" t="s">
        <v>57</v>
      </c>
      <c r="C56" s="1">
        <v>45029</v>
      </c>
      <c r="D56" s="30">
        <v>4</v>
      </c>
      <c r="E56" s="8">
        <f>30%*370000</f>
        <v>111000</v>
      </c>
      <c r="F56" s="8">
        <v>0</v>
      </c>
      <c r="G56" s="8">
        <f>ROUND(E56-F56,0)</f>
        <v>111000</v>
      </c>
      <c r="H56" s="8">
        <f>ROUND(G56*18%,0)</f>
        <v>19980</v>
      </c>
      <c r="I56" s="8">
        <f>G56+H56</f>
        <v>130980</v>
      </c>
      <c r="J56" s="8">
        <f>G56*$J$6</f>
        <v>1110</v>
      </c>
      <c r="K56" s="8">
        <f>G56*10%</f>
        <v>11100</v>
      </c>
      <c r="L56" s="8">
        <f>H56</f>
        <v>19980</v>
      </c>
      <c r="M56" s="8"/>
      <c r="N56" s="8">
        <f>ROUND(I56-SUM(J56:M56),0)</f>
        <v>98790</v>
      </c>
      <c r="O56" s="26"/>
      <c r="P56" s="8" t="s">
        <v>58</v>
      </c>
      <c r="Q56" s="8">
        <v>98790</v>
      </c>
      <c r="R56" s="8"/>
      <c r="S56" s="8"/>
      <c r="T56" s="8"/>
      <c r="U56" s="8">
        <f>Q56</f>
        <v>98790</v>
      </c>
      <c r="V56" s="18" t="s">
        <v>59</v>
      </c>
      <c r="W56" s="15"/>
    </row>
    <row r="57" spans="1:87" ht="27" customHeight="1" x14ac:dyDescent="0.25">
      <c r="A57" s="16">
        <v>56459</v>
      </c>
      <c r="B57" s="24" t="s">
        <v>146</v>
      </c>
      <c r="C57" s="1">
        <v>45196</v>
      </c>
      <c r="D57" s="30">
        <v>4</v>
      </c>
      <c r="E57" s="8">
        <v>19980</v>
      </c>
      <c r="F57" s="8"/>
      <c r="G57" s="8">
        <f>ROUND(E57-F57,0)</f>
        <v>19980</v>
      </c>
      <c r="H57" s="8"/>
      <c r="I57" s="8">
        <f>G57+H57</f>
        <v>19980</v>
      </c>
      <c r="J57" s="8"/>
      <c r="K57" s="8"/>
      <c r="L57" s="8"/>
      <c r="M57" s="8"/>
      <c r="N57" s="8">
        <f>ROUND(I57-SUM(J57:M57),0)</f>
        <v>19980</v>
      </c>
      <c r="O57" s="15"/>
      <c r="P57" s="8" t="s">
        <v>126</v>
      </c>
      <c r="Q57" s="8">
        <v>19980</v>
      </c>
      <c r="R57" s="8"/>
      <c r="S57" s="8"/>
      <c r="T57" s="8"/>
      <c r="U57" s="8">
        <v>19980</v>
      </c>
      <c r="V57" s="18" t="s">
        <v>115</v>
      </c>
      <c r="W57" s="15"/>
    </row>
    <row r="58" spans="1:87" s="11" customFormat="1" x14ac:dyDescent="0.25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52">
        <f>A59</f>
        <v>57230</v>
      </c>
      <c r="P58" s="13"/>
      <c r="Q58" s="13"/>
      <c r="R58" s="13"/>
      <c r="S58" s="13"/>
      <c r="T58" s="13"/>
      <c r="U58" s="13"/>
      <c r="V58" s="16"/>
      <c r="W58" s="16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</row>
    <row r="59" spans="1:87" ht="27" customHeight="1" x14ac:dyDescent="0.25">
      <c r="A59" s="16">
        <v>57230</v>
      </c>
      <c r="B59" s="24" t="s">
        <v>153</v>
      </c>
      <c r="C59" s="1">
        <v>45062</v>
      </c>
      <c r="D59" s="25">
        <v>9</v>
      </c>
      <c r="E59" s="8">
        <v>104209</v>
      </c>
      <c r="F59" s="8">
        <v>27991</v>
      </c>
      <c r="G59" s="8">
        <f>ROUND(E59-F59,)</f>
        <v>76218</v>
      </c>
      <c r="H59" s="8">
        <f>ROUND(G59*$H$6,0)</f>
        <v>13719</v>
      </c>
      <c r="I59" s="8">
        <f>G59+H59</f>
        <v>89937</v>
      </c>
      <c r="J59" s="8">
        <f>ROUND(G59*$J$6,)</f>
        <v>762</v>
      </c>
      <c r="K59" s="8">
        <f>(G59*$K$6)</f>
        <v>3810.9</v>
      </c>
      <c r="L59" s="8">
        <f>ROUND(G59*$L$6,)</f>
        <v>7622</v>
      </c>
      <c r="M59" s="13">
        <f>H59</f>
        <v>13719</v>
      </c>
      <c r="N59" s="8">
        <f>ROUND(I59-SUM(J59:M59),0)</f>
        <v>64023</v>
      </c>
      <c r="O59" s="26"/>
      <c r="P59" s="8" t="s">
        <v>60</v>
      </c>
      <c r="Q59" s="8">
        <v>64023</v>
      </c>
      <c r="R59" s="8">
        <v>0</v>
      </c>
      <c r="S59" s="8">
        <v>0</v>
      </c>
      <c r="T59" s="8">
        <v>0</v>
      </c>
      <c r="U59" s="8">
        <f t="shared" ref="U59" si="37">Q59-R59</f>
        <v>64023</v>
      </c>
      <c r="V59" s="18" t="s">
        <v>61</v>
      </c>
      <c r="W59" s="15"/>
    </row>
    <row r="60" spans="1:87" ht="27" customHeight="1" x14ac:dyDescent="0.25">
      <c r="A60" s="16">
        <v>57230</v>
      </c>
      <c r="B60" s="24" t="s">
        <v>154</v>
      </c>
      <c r="C60" s="1">
        <v>45127</v>
      </c>
      <c r="D60" s="25">
        <v>33</v>
      </c>
      <c r="E60" s="8">
        <v>8290</v>
      </c>
      <c r="F60" s="8">
        <v>0</v>
      </c>
      <c r="G60" s="8">
        <f>ROUND(E60-F60,)</f>
        <v>8290</v>
      </c>
      <c r="H60" s="8">
        <f>ROUND(G60*$H$6,0)</f>
        <v>1492</v>
      </c>
      <c r="I60" s="8">
        <f>G60+H60</f>
        <v>9782</v>
      </c>
      <c r="J60" s="8">
        <f>ROUND(G60*$J$6,)</f>
        <v>83</v>
      </c>
      <c r="K60" s="8">
        <f>(G60*$K$6)</f>
        <v>414.5</v>
      </c>
      <c r="L60" s="8">
        <f>ROUND(G60*$L$6,)</f>
        <v>829</v>
      </c>
      <c r="M60" s="13">
        <f>H60</f>
        <v>1492</v>
      </c>
      <c r="N60" s="8">
        <f>ROUND(I60-SUM(J60:M60),0)</f>
        <v>6964</v>
      </c>
      <c r="O60" s="26" t="s">
        <v>131</v>
      </c>
      <c r="P60" s="8"/>
      <c r="Q60" s="8"/>
      <c r="R60" s="8"/>
      <c r="S60" s="8"/>
      <c r="T60" s="8"/>
      <c r="U60" s="8"/>
      <c r="V60" s="18"/>
      <c r="W60" s="15"/>
    </row>
    <row r="61" spans="1:87" s="11" customFormat="1" x14ac:dyDescent="0.25"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52">
        <f>A62</f>
        <v>57233</v>
      </c>
      <c r="P61" s="13"/>
      <c r="Q61" s="13"/>
      <c r="R61" s="13"/>
      <c r="S61" s="13"/>
      <c r="T61" s="13"/>
      <c r="U61" s="13"/>
      <c r="V61" s="16"/>
      <c r="W61" s="56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</row>
    <row r="62" spans="1:87" ht="27" customHeight="1" x14ac:dyDescent="0.25">
      <c r="A62" s="16">
        <v>57233</v>
      </c>
      <c r="B62" s="24" t="s">
        <v>155</v>
      </c>
      <c r="C62" s="1">
        <v>45068</v>
      </c>
      <c r="D62" s="25">
        <v>10</v>
      </c>
      <c r="E62" s="8">
        <v>212591.15</v>
      </c>
      <c r="F62" s="8">
        <v>16591</v>
      </c>
      <c r="G62" s="8">
        <f>ROUND(E62-F62,)</f>
        <v>196000</v>
      </c>
      <c r="H62" s="8">
        <f>ROUND(G62*$H$6,0)</f>
        <v>35280</v>
      </c>
      <c r="I62" s="8">
        <f>G62+H62</f>
        <v>231280</v>
      </c>
      <c r="J62" s="8">
        <f>ROUND(G62*$J$6,)</f>
        <v>1960</v>
      </c>
      <c r="K62" s="8">
        <f>(G62*$K$6)</f>
        <v>9800</v>
      </c>
      <c r="L62" s="8">
        <f>ROUND(G62*$L$6,)</f>
        <v>19600</v>
      </c>
      <c r="M62" s="13">
        <f>H62</f>
        <v>35280</v>
      </c>
      <c r="N62" s="8">
        <f>ROUND(I62-SUM(J62:M62),0)</f>
        <v>164640</v>
      </c>
      <c r="O62" s="26"/>
      <c r="P62" s="8" t="s">
        <v>62</v>
      </c>
      <c r="Q62" s="8">
        <v>148500</v>
      </c>
      <c r="R62" s="8">
        <v>0</v>
      </c>
      <c r="S62" s="8">
        <v>0</v>
      </c>
      <c r="T62" s="8">
        <v>0</v>
      </c>
      <c r="U62" s="8">
        <f>Q62</f>
        <v>148500</v>
      </c>
      <c r="V62" s="18" t="s">
        <v>63</v>
      </c>
      <c r="W62" s="15"/>
    </row>
    <row r="63" spans="1:87" ht="27" customHeight="1" x14ac:dyDescent="0.25">
      <c r="A63" s="16">
        <v>57233</v>
      </c>
      <c r="B63" s="24" t="s">
        <v>155</v>
      </c>
      <c r="C63" s="1">
        <v>45148</v>
      </c>
      <c r="D63" s="25">
        <v>38</v>
      </c>
      <c r="E63" s="8">
        <v>846158.85</v>
      </c>
      <c r="F63" s="8">
        <v>62937</v>
      </c>
      <c r="G63" s="8">
        <f>ROUND(E63-F63,)</f>
        <v>783222</v>
      </c>
      <c r="H63" s="8">
        <f>ROUND(G63*$H$6,0)</f>
        <v>140980</v>
      </c>
      <c r="I63" s="8">
        <f>G63+H63</f>
        <v>924202</v>
      </c>
      <c r="J63" s="8">
        <f>ROUND(G63*$J$6,)</f>
        <v>7832</v>
      </c>
      <c r="K63" s="8">
        <f>(G63*$K$6)</f>
        <v>39161.1</v>
      </c>
      <c r="L63" s="8">
        <f>ROUND(G63*$L$6,)</f>
        <v>78322</v>
      </c>
      <c r="M63" s="13">
        <f>H63</f>
        <v>140980</v>
      </c>
      <c r="N63" s="8">
        <f>ROUND(I63-SUM(J63:M63),0)</f>
        <v>657907</v>
      </c>
      <c r="O63" s="26"/>
      <c r="P63" s="8" t="s">
        <v>64</v>
      </c>
      <c r="Q63" s="8">
        <v>16140</v>
      </c>
      <c r="R63" s="8"/>
      <c r="S63" s="8">
        <v>0</v>
      </c>
      <c r="T63" s="8">
        <v>0</v>
      </c>
      <c r="U63" s="8">
        <f t="shared" ref="U63:U64" si="38">Q63-R63</f>
        <v>16140</v>
      </c>
      <c r="V63" s="18" t="s">
        <v>65</v>
      </c>
      <c r="W63" s="15"/>
    </row>
    <row r="64" spans="1:87" ht="27" customHeight="1" x14ac:dyDescent="0.25">
      <c r="A64" s="16">
        <v>57233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26"/>
      <c r="P64" s="8" t="s">
        <v>66</v>
      </c>
      <c r="Q64" s="8">
        <v>148500</v>
      </c>
      <c r="R64" s="8"/>
      <c r="S64" s="8">
        <v>0</v>
      </c>
      <c r="T64" s="8">
        <v>0</v>
      </c>
      <c r="U64" s="8">
        <f t="shared" si="38"/>
        <v>148500</v>
      </c>
      <c r="V64" s="18" t="s">
        <v>67</v>
      </c>
      <c r="W64" s="15"/>
    </row>
    <row r="65" spans="1:87" ht="27" customHeight="1" x14ac:dyDescent="0.25">
      <c r="A65" s="16">
        <v>57233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26"/>
      <c r="P65" s="8" t="s">
        <v>90</v>
      </c>
      <c r="Q65" s="8">
        <v>400000</v>
      </c>
      <c r="R65" s="8">
        <f>Q65*1%</f>
        <v>4000</v>
      </c>
      <c r="S65" s="8"/>
      <c r="T65" s="8"/>
      <c r="U65" s="8">
        <f>Q65-R65</f>
        <v>396000</v>
      </c>
      <c r="V65" s="18" t="s">
        <v>89</v>
      </c>
      <c r="W65" s="15"/>
    </row>
    <row r="66" spans="1:87" ht="27" customHeight="1" x14ac:dyDescent="0.25">
      <c r="A66" s="16">
        <v>57233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26"/>
      <c r="P66" s="8" t="s">
        <v>102</v>
      </c>
      <c r="Q66" s="8">
        <v>113407</v>
      </c>
      <c r="R66" s="8"/>
      <c r="S66" s="8"/>
      <c r="T66" s="8"/>
      <c r="U66" s="8">
        <f>Q66-R66</f>
        <v>113407</v>
      </c>
      <c r="V66" s="18" t="s">
        <v>101</v>
      </c>
      <c r="W66" s="15"/>
    </row>
    <row r="67" spans="1:87" s="11" customFormat="1" x14ac:dyDescent="0.25"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52">
        <f>A68</f>
        <v>57234</v>
      </c>
      <c r="P67" s="13"/>
      <c r="Q67" s="13"/>
      <c r="R67" s="13"/>
      <c r="S67" s="13"/>
      <c r="T67" s="13"/>
      <c r="U67" s="13"/>
      <c r="V67" s="16"/>
      <c r="W67" s="16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  <c r="BX67" s="35"/>
      <c r="BY67" s="35"/>
      <c r="BZ67" s="35"/>
      <c r="CA67" s="35"/>
      <c r="CB67" s="35"/>
      <c r="CC67" s="35"/>
      <c r="CD67" s="35"/>
      <c r="CE67" s="35"/>
      <c r="CF67" s="35"/>
      <c r="CG67" s="35"/>
      <c r="CH67" s="35"/>
      <c r="CI67" s="35"/>
    </row>
    <row r="68" spans="1:87" ht="27" customHeight="1" x14ac:dyDescent="0.25">
      <c r="A68" s="16">
        <v>57234</v>
      </c>
      <c r="B68" s="24" t="s">
        <v>156</v>
      </c>
      <c r="C68" s="1">
        <v>45099</v>
      </c>
      <c r="D68" s="25">
        <v>23</v>
      </c>
      <c r="E68" s="8">
        <f>1575000*5%</f>
        <v>78750</v>
      </c>
      <c r="F68" s="8">
        <v>17982</v>
      </c>
      <c r="G68" s="8">
        <f>ROUND(E68-F68,)</f>
        <v>60768</v>
      </c>
      <c r="H68" s="8">
        <f>ROUND(G68*$H$6,0)</f>
        <v>10938</v>
      </c>
      <c r="I68" s="8">
        <f>G68+H68</f>
        <v>71706</v>
      </c>
      <c r="J68" s="8">
        <f>ROUND(G68*$J$6,)</f>
        <v>608</v>
      </c>
      <c r="K68" s="8">
        <f>(G68*$K$6)</f>
        <v>3038.4</v>
      </c>
      <c r="L68" s="8">
        <f>ROUND(G68*$L$6,)</f>
        <v>6077</v>
      </c>
      <c r="M68" s="13">
        <f>H68</f>
        <v>10938</v>
      </c>
      <c r="N68" s="8">
        <f>ROUND(I68-SUM(J68:M68),0)</f>
        <v>51045</v>
      </c>
      <c r="O68" s="26"/>
      <c r="P68" s="8" t="s">
        <v>68</v>
      </c>
      <c r="Q68" s="8">
        <v>50000</v>
      </c>
      <c r="R68" s="8">
        <f>Q68*1%</f>
        <v>500</v>
      </c>
      <c r="S68" s="8">
        <v>0</v>
      </c>
      <c r="T68" s="8">
        <v>0</v>
      </c>
      <c r="U68" s="8">
        <f t="shared" ref="U68:U69" si="39">Q68-R68</f>
        <v>49500</v>
      </c>
      <c r="V68" s="18" t="s">
        <v>69</v>
      </c>
      <c r="W68" s="15"/>
    </row>
    <row r="69" spans="1:87" ht="27" customHeight="1" x14ac:dyDescent="0.25">
      <c r="A69" s="16">
        <v>57234</v>
      </c>
      <c r="B69" s="24" t="s">
        <v>156</v>
      </c>
      <c r="C69" s="1">
        <v>45109</v>
      </c>
      <c r="D69" s="25">
        <v>27</v>
      </c>
      <c r="E69" s="8">
        <f>1706250*25%-E68</f>
        <v>347812.5</v>
      </c>
      <c r="F69" s="8">
        <v>124088</v>
      </c>
      <c r="G69" s="8">
        <f>ROUND(E69-F69,)</f>
        <v>223725</v>
      </c>
      <c r="H69" s="8">
        <f>ROUND(G69*$H$6,0)</f>
        <v>40271</v>
      </c>
      <c r="I69" s="8">
        <f>G69+H69</f>
        <v>263996</v>
      </c>
      <c r="J69" s="8">
        <f>ROUND(G69*$J$6,)</f>
        <v>2237</v>
      </c>
      <c r="K69" s="8">
        <f>(G69*$K$6)</f>
        <v>11186.25</v>
      </c>
      <c r="L69" s="8">
        <f>ROUND(G69*$L$6,)</f>
        <v>22373</v>
      </c>
      <c r="M69" s="13">
        <f>H69</f>
        <v>40271</v>
      </c>
      <c r="N69" s="8">
        <f>ROUND(I69-SUM(J69:M69),0)</f>
        <v>187929</v>
      </c>
      <c r="O69" s="26"/>
      <c r="P69" s="8" t="s">
        <v>104</v>
      </c>
      <c r="Q69" s="8">
        <v>1545</v>
      </c>
      <c r="R69" s="8"/>
      <c r="S69" s="8"/>
      <c r="T69" s="8"/>
      <c r="U69" s="8">
        <f t="shared" si="39"/>
        <v>1545</v>
      </c>
      <c r="V69" s="18" t="s">
        <v>88</v>
      </c>
      <c r="W69" s="15"/>
    </row>
    <row r="70" spans="1:87" ht="27" customHeight="1" x14ac:dyDescent="0.25">
      <c r="A70" s="16">
        <v>57234</v>
      </c>
      <c r="B70" s="24"/>
      <c r="C70" s="1"/>
      <c r="D70" s="25"/>
      <c r="E70" s="8"/>
      <c r="F70" s="8"/>
      <c r="G70" s="8"/>
      <c r="H70" s="8"/>
      <c r="I70" s="8"/>
      <c r="J70" s="8"/>
      <c r="K70" s="8"/>
      <c r="L70" s="8"/>
      <c r="M70" s="8"/>
      <c r="N70" s="8"/>
      <c r="O70" s="26"/>
      <c r="P70" s="8" t="s">
        <v>105</v>
      </c>
      <c r="Q70" s="8">
        <v>187929</v>
      </c>
      <c r="R70" s="8"/>
      <c r="S70" s="8"/>
      <c r="T70" s="8"/>
      <c r="U70" s="8">
        <f>Q70-R70</f>
        <v>187929</v>
      </c>
      <c r="V70" s="18" t="s">
        <v>103</v>
      </c>
      <c r="W70" s="15"/>
    </row>
    <row r="71" spans="1:87" s="11" customFormat="1" x14ac:dyDescent="0.25"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52">
        <f>A72</f>
        <v>57368</v>
      </c>
      <c r="P71" s="13"/>
      <c r="Q71" s="13"/>
      <c r="R71" s="13"/>
      <c r="S71" s="13"/>
      <c r="T71" s="13"/>
      <c r="U71" s="13"/>
      <c r="V71" s="16"/>
      <c r="W71" s="16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5"/>
      <c r="CI71" s="35"/>
    </row>
    <row r="72" spans="1:87" ht="27" customHeight="1" x14ac:dyDescent="0.25">
      <c r="A72" s="16">
        <v>57368</v>
      </c>
      <c r="B72" s="24" t="s">
        <v>157</v>
      </c>
      <c r="C72" s="1">
        <v>45059</v>
      </c>
      <c r="D72" s="25">
        <v>8</v>
      </c>
      <c r="E72" s="8">
        <f>1575000*5%</f>
        <v>78750</v>
      </c>
      <c r="F72" s="8">
        <v>0</v>
      </c>
      <c r="G72" s="8">
        <f>ROUND(E72-F72,)</f>
        <v>78750</v>
      </c>
      <c r="H72" s="8">
        <f>ROUND(G72*$H$6,0)</f>
        <v>14175</v>
      </c>
      <c r="I72" s="8">
        <f>G72+H72</f>
        <v>92925</v>
      </c>
      <c r="J72" s="8">
        <f>ROUND(G72*$J$6,)</f>
        <v>788</v>
      </c>
      <c r="K72" s="8">
        <f>(G72*$K$6)</f>
        <v>3937.5</v>
      </c>
      <c r="L72" s="8">
        <f>ROUND(G72*$L$6,)</f>
        <v>7875</v>
      </c>
      <c r="M72" s="13">
        <f>H72</f>
        <v>14175</v>
      </c>
      <c r="N72" s="8">
        <f>ROUND(I72-SUM(J72:M72),0)</f>
        <v>66150</v>
      </c>
      <c r="O72" s="26"/>
      <c r="P72" s="8" t="s">
        <v>70</v>
      </c>
      <c r="Q72" s="8">
        <v>66149</v>
      </c>
      <c r="R72" s="8">
        <v>0</v>
      </c>
      <c r="S72" s="8">
        <v>0</v>
      </c>
      <c r="T72" s="8">
        <v>0</v>
      </c>
      <c r="U72" s="8">
        <f t="shared" ref="U72" si="40">Q72-R72</f>
        <v>66149</v>
      </c>
      <c r="V72" s="18" t="s">
        <v>71</v>
      </c>
      <c r="W72" s="15"/>
    </row>
    <row r="73" spans="1:87" ht="27" customHeight="1" x14ac:dyDescent="0.25">
      <c r="A73" s="16">
        <v>57368</v>
      </c>
      <c r="B73" s="24" t="s">
        <v>157</v>
      </c>
      <c r="C73" s="1">
        <v>45127</v>
      </c>
      <c r="D73" s="25">
        <v>8</v>
      </c>
      <c r="E73" s="8">
        <v>6562</v>
      </c>
      <c r="F73" s="8">
        <v>0</v>
      </c>
      <c r="G73" s="8">
        <f>ROUND(E73-F73,)</f>
        <v>6562</v>
      </c>
      <c r="H73" s="8">
        <f>ROUND(G73*$H$6,0)</f>
        <v>1181</v>
      </c>
      <c r="I73" s="8">
        <f>G73+H73</f>
        <v>7743</v>
      </c>
      <c r="J73" s="8">
        <f>ROUND(G73*$J$6,)</f>
        <v>66</v>
      </c>
      <c r="K73" s="8">
        <f>(G73*$K$6)</f>
        <v>328.1</v>
      </c>
      <c r="L73" s="8">
        <f>ROUND(G73*$L$6,)</f>
        <v>656</v>
      </c>
      <c r="M73" s="13">
        <f>H73</f>
        <v>1181</v>
      </c>
      <c r="N73" s="8">
        <f>ROUND(I73-SUM(J73:M73),0)</f>
        <v>5512</v>
      </c>
      <c r="O73" s="26"/>
      <c r="P73" s="8" t="s">
        <v>107</v>
      </c>
      <c r="Q73" s="8">
        <v>5513</v>
      </c>
      <c r="R73" s="8">
        <v>0</v>
      </c>
      <c r="S73" s="8">
        <v>0</v>
      </c>
      <c r="T73" s="8">
        <v>0</v>
      </c>
      <c r="U73" s="8">
        <f t="shared" ref="U73" si="41">Q73-R73</f>
        <v>5513</v>
      </c>
      <c r="V73" s="18" t="s">
        <v>106</v>
      </c>
      <c r="W73" s="15"/>
    </row>
    <row r="74" spans="1:87" s="11" customFormat="1" x14ac:dyDescent="0.25">
      <c r="A74" s="16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23">
        <f>A75</f>
        <v>57530</v>
      </c>
      <c r="P74" s="13"/>
      <c r="Q74" s="13"/>
      <c r="R74" s="13"/>
      <c r="S74" s="13"/>
      <c r="T74" s="13"/>
      <c r="U74" s="13"/>
      <c r="V74" s="16"/>
      <c r="W74" s="56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5"/>
      <c r="CI74" s="35"/>
    </row>
    <row r="75" spans="1:87" ht="27" customHeight="1" x14ac:dyDescent="0.25">
      <c r="A75" s="37">
        <v>57530</v>
      </c>
      <c r="B75" s="24" t="s">
        <v>158</v>
      </c>
      <c r="C75" s="1">
        <v>45068</v>
      </c>
      <c r="D75" s="25">
        <v>11</v>
      </c>
      <c r="E75" s="8">
        <f>2354320*5%</f>
        <v>117716</v>
      </c>
      <c r="F75" s="8">
        <v>27991</v>
      </c>
      <c r="G75" s="8">
        <f>ROUND(E75-F75,)</f>
        <v>89725</v>
      </c>
      <c r="H75" s="8">
        <f>ROUND(G75*$H$6,0)</f>
        <v>16151</v>
      </c>
      <c r="I75" s="8">
        <f>G75+H75</f>
        <v>105876</v>
      </c>
      <c r="J75" s="8">
        <f>ROUND(G75*$J$6,)</f>
        <v>897</v>
      </c>
      <c r="K75" s="8">
        <f>(G75*$K$6)</f>
        <v>4486.25</v>
      </c>
      <c r="L75" s="8">
        <f>ROUND(G75*$L$6,)</f>
        <v>8973</v>
      </c>
      <c r="M75" s="13">
        <f>H75</f>
        <v>16151</v>
      </c>
      <c r="N75" s="8">
        <f>ROUND(I75-SUM(J75:M75),0)</f>
        <v>75369</v>
      </c>
      <c r="O75" s="26"/>
      <c r="P75" s="8" t="s">
        <v>72</v>
      </c>
      <c r="Q75" s="8">
        <v>75369</v>
      </c>
      <c r="R75" s="8">
        <v>0</v>
      </c>
      <c r="S75" s="8">
        <v>0</v>
      </c>
      <c r="T75" s="8">
        <v>0</v>
      </c>
      <c r="U75" s="8">
        <f t="shared" ref="U75" si="42">Q75-R75</f>
        <v>75369</v>
      </c>
      <c r="V75" s="18" t="s">
        <v>73</v>
      </c>
      <c r="W75" s="15"/>
    </row>
    <row r="76" spans="1:87" s="11" customFormat="1" x14ac:dyDescent="0.25">
      <c r="A76" s="16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23">
        <f>A77</f>
        <v>57603</v>
      </c>
      <c r="P76" s="13"/>
      <c r="Q76" s="13"/>
      <c r="R76" s="13"/>
      <c r="S76" s="13"/>
      <c r="T76" s="13"/>
      <c r="U76" s="13"/>
      <c r="V76" s="16"/>
      <c r="W76" s="56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</row>
    <row r="77" spans="1:87" ht="27" customHeight="1" x14ac:dyDescent="0.25">
      <c r="A77" s="37">
        <v>57603</v>
      </c>
      <c r="B77" s="24" t="s">
        <v>159</v>
      </c>
      <c r="C77" s="1">
        <v>45073</v>
      </c>
      <c r="D77" s="25">
        <v>12</v>
      </c>
      <c r="E77" s="8">
        <v>110211.8</v>
      </c>
      <c r="F77" s="8">
        <v>20391</v>
      </c>
      <c r="G77" s="8">
        <f>ROUND(E77-F77,)</f>
        <v>89821</v>
      </c>
      <c r="H77" s="8">
        <f>ROUND(G77*$H$6,0)</f>
        <v>16168</v>
      </c>
      <c r="I77" s="8">
        <f>G77+H77</f>
        <v>105989</v>
      </c>
      <c r="J77" s="8">
        <f>ROUND(G77*$J$6,)</f>
        <v>898</v>
      </c>
      <c r="K77" s="8">
        <f>(G77*$K$6)</f>
        <v>4491.05</v>
      </c>
      <c r="L77" s="15">
        <v>8982</v>
      </c>
      <c r="M77" s="13">
        <f>H77</f>
        <v>16168</v>
      </c>
      <c r="N77" s="8">
        <f>ROUND(I77-SUM(J77:M77),0)</f>
        <v>75450</v>
      </c>
      <c r="O77" s="26"/>
      <c r="P77" s="8" t="s">
        <v>74</v>
      </c>
      <c r="Q77" s="8">
        <v>75450</v>
      </c>
      <c r="R77" s="8">
        <v>0</v>
      </c>
      <c r="S77" s="8">
        <v>0</v>
      </c>
      <c r="T77" s="8">
        <v>0</v>
      </c>
      <c r="U77" s="8">
        <f>Q77-R77</f>
        <v>75450</v>
      </c>
      <c r="V77" s="18" t="s">
        <v>75</v>
      </c>
      <c r="W77" s="15"/>
    </row>
    <row r="78" spans="1:87" s="11" customFormat="1" x14ac:dyDescent="0.25">
      <c r="A78" s="16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23">
        <f>A79</f>
        <v>57691</v>
      </c>
      <c r="P78" s="13"/>
      <c r="Q78" s="13"/>
      <c r="R78" s="13"/>
      <c r="S78" s="13"/>
      <c r="T78" s="13"/>
      <c r="U78" s="13"/>
      <c r="V78" s="16"/>
      <c r="W78" s="56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5"/>
      <c r="CI78" s="35"/>
    </row>
    <row r="79" spans="1:87" ht="27" customHeight="1" x14ac:dyDescent="0.25">
      <c r="A79" s="37">
        <v>57691</v>
      </c>
      <c r="B79" s="24" t="s">
        <v>160</v>
      </c>
      <c r="C79" s="1">
        <v>45077</v>
      </c>
      <c r="D79" s="25">
        <v>13</v>
      </c>
      <c r="E79" s="8">
        <f>3585000*5%</f>
        <v>179250</v>
      </c>
      <c r="F79" s="8">
        <v>20391</v>
      </c>
      <c r="G79" s="8">
        <f>ROUND(E79-F79,)</f>
        <v>158859</v>
      </c>
      <c r="H79" s="8">
        <f>ROUND(G79*$H$6,0)</f>
        <v>28595</v>
      </c>
      <c r="I79" s="8">
        <f>G79+H79</f>
        <v>187454</v>
      </c>
      <c r="J79" s="8">
        <f>ROUND(G79*$J$6,)</f>
        <v>1589</v>
      </c>
      <c r="K79" s="8">
        <f>(G79*$K$6)</f>
        <v>7942.9500000000007</v>
      </c>
      <c r="L79" s="8">
        <f>ROUND(G79*$L$6,)</f>
        <v>15886</v>
      </c>
      <c r="M79" s="13">
        <f>H79</f>
        <v>28595</v>
      </c>
      <c r="N79" s="8">
        <f>ROUND(I79-SUM(J79:M79),0)</f>
        <v>133441</v>
      </c>
      <c r="O79" s="26"/>
      <c r="P79" s="8" t="s">
        <v>76</v>
      </c>
      <c r="Q79" s="8">
        <v>100000</v>
      </c>
      <c r="R79" s="8">
        <v>0</v>
      </c>
      <c r="S79" s="8">
        <v>0</v>
      </c>
      <c r="T79" s="8">
        <v>0</v>
      </c>
      <c r="U79" s="8">
        <f t="shared" ref="U79:U82" si="43">Q79-R79</f>
        <v>100000</v>
      </c>
      <c r="V79" s="18" t="s">
        <v>77</v>
      </c>
      <c r="W79" s="15"/>
    </row>
    <row r="80" spans="1:87" ht="27" customHeight="1" x14ac:dyDescent="0.25">
      <c r="A80" s="37">
        <v>57691</v>
      </c>
      <c r="B80" s="24" t="s">
        <v>160</v>
      </c>
      <c r="C80" s="1">
        <v>45109</v>
      </c>
      <c r="D80" s="25">
        <v>29</v>
      </c>
      <c r="E80" s="8">
        <v>816062</v>
      </c>
      <c r="F80" s="8">
        <v>67433</v>
      </c>
      <c r="G80" s="8">
        <f>ROUND(E80-F80,)</f>
        <v>748629</v>
      </c>
      <c r="H80" s="8">
        <f>ROUND(G80*$H$6,0)</f>
        <v>134753</v>
      </c>
      <c r="I80" s="8">
        <f>G80+H80</f>
        <v>883382</v>
      </c>
      <c r="J80" s="8">
        <f>ROUND(G80*$J$6,)</f>
        <v>7486</v>
      </c>
      <c r="K80" s="8">
        <f>(G80*$K$6)</f>
        <v>37431.450000000004</v>
      </c>
      <c r="L80" s="8">
        <f>ROUND(G80*$L$6,)</f>
        <v>74863</v>
      </c>
      <c r="M80" s="13">
        <f>H80</f>
        <v>134753</v>
      </c>
      <c r="N80" s="8">
        <f>ROUND(I80-SUM(J80:M80),0)</f>
        <v>628849</v>
      </c>
      <c r="O80" s="26"/>
      <c r="P80" s="8" t="s">
        <v>78</v>
      </c>
      <c r="Q80" s="8">
        <v>33441</v>
      </c>
      <c r="R80" s="8">
        <v>0</v>
      </c>
      <c r="S80" s="8">
        <v>0</v>
      </c>
      <c r="T80" s="8">
        <v>0</v>
      </c>
      <c r="U80" s="8">
        <f t="shared" si="43"/>
        <v>33441</v>
      </c>
      <c r="V80" s="18" t="s">
        <v>79</v>
      </c>
      <c r="W80" s="15"/>
    </row>
    <row r="81" spans="1:87" ht="27" customHeight="1" x14ac:dyDescent="0.25">
      <c r="A81" s="37">
        <v>57691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26"/>
      <c r="P81" s="8" t="s">
        <v>80</v>
      </c>
      <c r="Q81" s="8">
        <v>200000</v>
      </c>
      <c r="R81" s="8">
        <f>Q81*1%</f>
        <v>2000</v>
      </c>
      <c r="S81" s="8">
        <v>0</v>
      </c>
      <c r="T81" s="8">
        <v>0</v>
      </c>
      <c r="U81" s="8">
        <f t="shared" si="43"/>
        <v>198000</v>
      </c>
      <c r="V81" s="18" t="s">
        <v>81</v>
      </c>
      <c r="W81" s="15"/>
    </row>
    <row r="82" spans="1:87" ht="27" customHeight="1" x14ac:dyDescent="0.25">
      <c r="A82" s="37">
        <v>57691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26"/>
      <c r="P82" s="8" t="s">
        <v>109</v>
      </c>
      <c r="Q82" s="8">
        <v>430849</v>
      </c>
      <c r="R82" s="8"/>
      <c r="S82" s="8"/>
      <c r="T82" s="8"/>
      <c r="U82" s="8">
        <f t="shared" si="43"/>
        <v>430849</v>
      </c>
      <c r="V82" s="18" t="s">
        <v>108</v>
      </c>
      <c r="W82" s="15"/>
    </row>
    <row r="83" spans="1:87" s="11" customFormat="1" x14ac:dyDescent="0.25">
      <c r="A83" s="16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23">
        <f>A84</f>
        <v>57737</v>
      </c>
      <c r="P83" s="13"/>
      <c r="Q83" s="13"/>
      <c r="R83" s="13"/>
      <c r="S83" s="13"/>
      <c r="T83" s="13"/>
      <c r="U83" s="13"/>
      <c r="V83" s="16"/>
      <c r="W83" s="56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  <c r="BQ83" s="35"/>
      <c r="BR83" s="35"/>
      <c r="BS83" s="35"/>
      <c r="BT83" s="35"/>
      <c r="BU83" s="35"/>
      <c r="BV83" s="35"/>
      <c r="BW83" s="35"/>
      <c r="BX83" s="35"/>
      <c r="BY83" s="35"/>
      <c r="BZ83" s="35"/>
      <c r="CA83" s="35"/>
      <c r="CB83" s="35"/>
      <c r="CC83" s="35"/>
      <c r="CD83" s="35"/>
      <c r="CE83" s="35"/>
      <c r="CF83" s="35"/>
      <c r="CG83" s="35"/>
      <c r="CH83" s="35"/>
      <c r="CI83" s="35"/>
    </row>
    <row r="84" spans="1:87" ht="27" customHeight="1" x14ac:dyDescent="0.25">
      <c r="A84" s="37">
        <v>57737</v>
      </c>
      <c r="B84" s="31" t="s">
        <v>161</v>
      </c>
      <c r="C84" s="1">
        <v>45082</v>
      </c>
      <c r="D84" s="25">
        <v>16</v>
      </c>
      <c r="E84" s="8">
        <v>121247.45</v>
      </c>
      <c r="F84" s="8">
        <v>10789</v>
      </c>
      <c r="G84" s="8">
        <f>E84-F84</f>
        <v>110458.45</v>
      </c>
      <c r="H84" s="8">
        <f>ROUND(G84*18%,0)</f>
        <v>19883</v>
      </c>
      <c r="I84" s="8">
        <f>G84+H84</f>
        <v>130341.45</v>
      </c>
      <c r="J84" s="8">
        <v>1104.58</v>
      </c>
      <c r="K84" s="8">
        <v>5522.92</v>
      </c>
      <c r="L84" s="8">
        <f>G84*10%</f>
        <v>11045.845000000001</v>
      </c>
      <c r="M84" s="56">
        <f>H84</f>
        <v>19883</v>
      </c>
      <c r="N84" s="8">
        <f>ROUND(I84-SUM(J84:M84),0)</f>
        <v>92785</v>
      </c>
      <c r="O84" s="26"/>
      <c r="P84" s="8" t="s">
        <v>82</v>
      </c>
      <c r="Q84" s="8">
        <v>92784</v>
      </c>
      <c r="R84" s="8">
        <v>0</v>
      </c>
      <c r="S84" s="8">
        <v>0</v>
      </c>
      <c r="T84" s="8">
        <v>0</v>
      </c>
      <c r="U84" s="8">
        <f t="shared" ref="U84" si="44">Q84-R84</f>
        <v>92784</v>
      </c>
      <c r="V84" s="18" t="s">
        <v>83</v>
      </c>
      <c r="W84" s="15"/>
    </row>
    <row r="85" spans="1:87" s="11" customFormat="1" x14ac:dyDescent="0.25">
      <c r="A85" s="16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23">
        <f>A86</f>
        <v>58046</v>
      </c>
      <c r="P85" s="13"/>
      <c r="Q85" s="13"/>
      <c r="R85" s="13"/>
      <c r="S85" s="13"/>
      <c r="T85" s="13"/>
      <c r="U85" s="13"/>
      <c r="V85" s="16"/>
      <c r="W85" s="56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</row>
    <row r="86" spans="1:87" ht="27" customHeight="1" x14ac:dyDescent="0.25">
      <c r="A86" s="37">
        <v>58046</v>
      </c>
      <c r="B86" s="31" t="s">
        <v>162</v>
      </c>
      <c r="C86" s="1">
        <v>45099</v>
      </c>
      <c r="D86" s="25">
        <v>20</v>
      </c>
      <c r="E86" s="8">
        <f>2204236*5%</f>
        <v>110211.8</v>
      </c>
      <c r="F86" s="8">
        <v>17982</v>
      </c>
      <c r="G86" s="8">
        <f>E86-F86</f>
        <v>92229.8</v>
      </c>
      <c r="H86" s="8">
        <f>ROUND(G86*18%,0)</f>
        <v>16601</v>
      </c>
      <c r="I86" s="8">
        <f>G86+H86</f>
        <v>108830.8</v>
      </c>
      <c r="J86" s="8">
        <v>922.3</v>
      </c>
      <c r="K86" s="8">
        <v>4611.49</v>
      </c>
      <c r="L86" s="8">
        <v>9222.98</v>
      </c>
      <c r="M86" s="13">
        <f>H86</f>
        <v>16601</v>
      </c>
      <c r="N86" s="8">
        <f>ROUND(I86-SUM(J86:M86),0)</f>
        <v>77473</v>
      </c>
      <c r="O86" s="26"/>
      <c r="P86" s="8" t="s">
        <v>84</v>
      </c>
      <c r="Q86" s="8">
        <v>77474</v>
      </c>
      <c r="R86" s="8">
        <v>0</v>
      </c>
      <c r="S86" s="8">
        <v>0</v>
      </c>
      <c r="T86" s="8">
        <v>0</v>
      </c>
      <c r="U86" s="8">
        <f t="shared" ref="U86" si="45">Q86-R86</f>
        <v>77474</v>
      </c>
      <c r="V86" s="18" t="s">
        <v>85</v>
      </c>
      <c r="W86" s="15"/>
    </row>
    <row r="87" spans="1:87" s="11" customFormat="1" x14ac:dyDescent="0.25">
      <c r="A87" s="16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23">
        <f>A88</f>
        <v>58047</v>
      </c>
      <c r="P87" s="13"/>
      <c r="Q87" s="13"/>
      <c r="R87" s="13"/>
      <c r="S87" s="13"/>
      <c r="T87" s="13"/>
      <c r="U87" s="13"/>
      <c r="V87" s="16"/>
      <c r="W87" s="56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  <c r="BX87" s="35"/>
      <c r="BY87" s="35"/>
      <c r="BZ87" s="35"/>
      <c r="CA87" s="35"/>
      <c r="CB87" s="35"/>
      <c r="CC87" s="35"/>
      <c r="CD87" s="35"/>
      <c r="CE87" s="35"/>
      <c r="CF87" s="35"/>
      <c r="CG87" s="35"/>
      <c r="CH87" s="35"/>
      <c r="CI87" s="35"/>
    </row>
    <row r="88" spans="1:87" ht="27" customHeight="1" x14ac:dyDescent="0.25">
      <c r="A88" s="37">
        <v>58047</v>
      </c>
      <c r="B88" s="31" t="s">
        <v>163</v>
      </c>
      <c r="C88" s="1">
        <v>45099</v>
      </c>
      <c r="D88" s="25">
        <v>21</v>
      </c>
      <c r="E88" s="8">
        <f>2354320*5%</f>
        <v>117716</v>
      </c>
      <c r="F88" s="8">
        <v>13487</v>
      </c>
      <c r="G88" s="8">
        <f>E88-F88</f>
        <v>104229</v>
      </c>
      <c r="H88" s="8">
        <f>ROUND(G88*18%,0)</f>
        <v>18761</v>
      </c>
      <c r="I88" s="8">
        <f>G88+H88</f>
        <v>122990</v>
      </c>
      <c r="J88" s="8">
        <f>G88*1%</f>
        <v>1042.29</v>
      </c>
      <c r="K88" s="8">
        <f>G88*5%</f>
        <v>5211.4500000000007</v>
      </c>
      <c r="L88" s="32">
        <f>G88*10%</f>
        <v>10422.900000000001</v>
      </c>
      <c r="M88" s="13">
        <f>H88</f>
        <v>18761</v>
      </c>
      <c r="N88" s="8">
        <f>ROUND(I88-SUM(J88:M88),0)</f>
        <v>87552</v>
      </c>
      <c r="O88" s="26"/>
      <c r="P88" s="8" t="s">
        <v>86</v>
      </c>
      <c r="Q88" s="8">
        <v>87553</v>
      </c>
      <c r="R88" s="8">
        <v>0</v>
      </c>
      <c r="S88" s="8">
        <v>0</v>
      </c>
      <c r="T88" s="8">
        <v>0</v>
      </c>
      <c r="U88" s="8">
        <f t="shared" ref="U88" si="46">Q88-R88</f>
        <v>87553</v>
      </c>
      <c r="V88" s="18" t="s">
        <v>87</v>
      </c>
      <c r="W88" s="15"/>
    </row>
    <row r="89" spans="1:87" s="11" customFormat="1" x14ac:dyDescent="0.25">
      <c r="A89" s="16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23">
        <f>A90</f>
        <v>58256</v>
      </c>
      <c r="P89" s="13"/>
      <c r="Q89" s="13"/>
      <c r="R89" s="13"/>
      <c r="S89" s="13"/>
      <c r="T89" s="13"/>
      <c r="U89" s="13"/>
      <c r="V89" s="16"/>
      <c r="W89" s="56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35"/>
      <c r="CD89" s="35"/>
      <c r="CE89" s="35"/>
      <c r="CF89" s="35"/>
      <c r="CG89" s="35"/>
      <c r="CH89" s="35"/>
      <c r="CI89" s="35"/>
    </row>
    <row r="90" spans="1:87" ht="27" customHeight="1" x14ac:dyDescent="0.25">
      <c r="A90" s="37">
        <v>58256</v>
      </c>
      <c r="B90" s="31" t="s">
        <v>164</v>
      </c>
      <c r="C90" s="1">
        <v>45109</v>
      </c>
      <c r="D90" s="25">
        <v>28</v>
      </c>
      <c r="E90" s="8">
        <v>236000</v>
      </c>
      <c r="F90" s="8">
        <v>13487</v>
      </c>
      <c r="G90" s="8">
        <f>E90-F90</f>
        <v>222513</v>
      </c>
      <c r="H90" s="8">
        <f>ROUND(G90*18%,0)</f>
        <v>40052</v>
      </c>
      <c r="I90" s="8">
        <f>G90+H90</f>
        <v>262565</v>
      </c>
      <c r="J90" s="8">
        <f>G90*1%</f>
        <v>2225.13</v>
      </c>
      <c r="K90" s="8">
        <f>G90*5%</f>
        <v>11125.650000000001</v>
      </c>
      <c r="L90" s="32">
        <f>G90*10%</f>
        <v>22251.300000000003</v>
      </c>
      <c r="M90" s="13">
        <f>H90</f>
        <v>40052</v>
      </c>
      <c r="N90" s="8">
        <f>ROUND(I90-SUM(J90:M90),0)</f>
        <v>186911</v>
      </c>
      <c r="O90" s="26"/>
      <c r="P90" s="8" t="s">
        <v>128</v>
      </c>
      <c r="Q90" s="8">
        <v>186911</v>
      </c>
      <c r="R90" s="8">
        <v>0</v>
      </c>
      <c r="S90" s="8">
        <v>0</v>
      </c>
      <c r="T90" s="8">
        <v>0</v>
      </c>
      <c r="U90" s="8">
        <f t="shared" ref="U90" si="47">Q90-R90</f>
        <v>186911</v>
      </c>
      <c r="V90" s="18" t="s">
        <v>127</v>
      </c>
      <c r="W90" s="15"/>
    </row>
    <row r="91" spans="1:87" s="11" customFormat="1" ht="27" customHeight="1" x14ac:dyDescent="0.25">
      <c r="A91" s="37"/>
      <c r="B91" s="31"/>
      <c r="C91" s="1"/>
      <c r="D91" s="25"/>
      <c r="E91" s="8"/>
      <c r="F91" s="8"/>
      <c r="G91" s="8"/>
      <c r="H91" s="8"/>
      <c r="I91" s="8"/>
      <c r="J91" s="8"/>
      <c r="K91" s="8"/>
      <c r="L91" s="32"/>
      <c r="M91" s="8"/>
      <c r="N91" s="8"/>
      <c r="O91" s="26"/>
      <c r="P91" s="8"/>
      <c r="Q91" s="8"/>
      <c r="R91" s="8"/>
      <c r="S91" s="8"/>
      <c r="T91" s="8"/>
      <c r="U91" s="8">
        <v>148500</v>
      </c>
      <c r="V91" s="18" t="s">
        <v>129</v>
      </c>
      <c r="W91" s="1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5"/>
      <c r="CB91" s="35"/>
      <c r="CC91" s="35"/>
      <c r="CD91" s="35"/>
      <c r="CE91" s="35"/>
      <c r="CF91" s="35"/>
      <c r="CG91" s="35"/>
      <c r="CH91" s="35"/>
      <c r="CI91" s="35"/>
    </row>
    <row r="92" spans="1:87" x14ac:dyDescent="0.25">
      <c r="A92" s="37"/>
      <c r="B92" s="31"/>
      <c r="C92" s="1"/>
      <c r="D92" s="25"/>
      <c r="E92" s="8"/>
      <c r="F92" s="8"/>
      <c r="G92" s="8"/>
      <c r="H92" s="8"/>
      <c r="I92" s="8"/>
      <c r="J92" s="8"/>
      <c r="K92" s="8"/>
      <c r="L92" s="32"/>
      <c r="M92" s="8"/>
      <c r="N92" s="8"/>
      <c r="O92" s="26"/>
      <c r="P92" s="8"/>
      <c r="Q92" s="8"/>
      <c r="R92" s="8"/>
      <c r="S92" s="8"/>
      <c r="T92" s="8"/>
      <c r="U92" s="8"/>
      <c r="V92" s="18"/>
      <c r="W92" s="15"/>
    </row>
    <row r="93" spans="1:87" s="11" customFormat="1" x14ac:dyDescent="0.25">
      <c r="A93" s="16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23">
        <f>A94</f>
        <v>58621</v>
      </c>
      <c r="P93" s="13"/>
      <c r="Q93" s="13"/>
      <c r="R93" s="13"/>
      <c r="S93" s="13"/>
      <c r="T93" s="13"/>
      <c r="U93" s="13"/>
      <c r="V93" s="16"/>
      <c r="W93" s="56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35"/>
      <c r="CD93" s="35"/>
      <c r="CE93" s="35"/>
      <c r="CF93" s="35"/>
      <c r="CG93" s="35"/>
      <c r="CH93" s="35"/>
      <c r="CI93" s="35"/>
    </row>
    <row r="94" spans="1:87" ht="28.5" x14ac:dyDescent="0.25">
      <c r="A94" s="37">
        <v>58621</v>
      </c>
      <c r="B94" s="24" t="s">
        <v>179</v>
      </c>
      <c r="C94" s="1">
        <v>45131</v>
      </c>
      <c r="D94" s="25">
        <v>37</v>
      </c>
      <c r="E94" s="8">
        <v>123750</v>
      </c>
      <c r="F94" s="8">
        <v>16184</v>
      </c>
      <c r="G94" s="8">
        <f>ROUND(E94-F94,)</f>
        <v>107566</v>
      </c>
      <c r="H94" s="8">
        <f>ROUND(G94*$H$6,0)</f>
        <v>19362</v>
      </c>
      <c r="I94" s="8">
        <f>G94+H94</f>
        <v>126928</v>
      </c>
      <c r="J94" s="8">
        <f>ROUND(G94*$J$6,)</f>
        <v>1076</v>
      </c>
      <c r="K94" s="8">
        <f>(G94*$K$6)</f>
        <v>5378.3</v>
      </c>
      <c r="L94" s="8">
        <v>10757</v>
      </c>
      <c r="M94" s="13">
        <f>H94</f>
        <v>19362</v>
      </c>
      <c r="N94" s="8">
        <f>ROUND(I94-SUM(J94:M94),0)</f>
        <v>90355</v>
      </c>
      <c r="O94" s="15"/>
      <c r="P94" s="8" t="s">
        <v>91</v>
      </c>
      <c r="Q94" s="8">
        <v>90355</v>
      </c>
      <c r="R94" s="8">
        <v>0</v>
      </c>
      <c r="S94" s="8">
        <v>0</v>
      </c>
      <c r="T94" s="8">
        <v>0</v>
      </c>
      <c r="U94" s="8">
        <f t="shared" ref="U94" si="48">Q94-R94</f>
        <v>90355</v>
      </c>
      <c r="V94" s="18" t="s">
        <v>92</v>
      </c>
      <c r="W94" s="15"/>
    </row>
    <row r="95" spans="1:87" s="11" customFormat="1" ht="28.5" x14ac:dyDescent="0.25">
      <c r="A95" s="37">
        <v>58621</v>
      </c>
      <c r="B95" s="24" t="s">
        <v>179</v>
      </c>
      <c r="C95" s="1">
        <v>45167</v>
      </c>
      <c r="D95" s="25">
        <v>39</v>
      </c>
      <c r="E95" s="8">
        <f>2475000*10%</f>
        <v>247500</v>
      </c>
      <c r="F95" s="8">
        <f>164767</f>
        <v>164767</v>
      </c>
      <c r="G95" s="8">
        <f>ROUND(E95-F95,)</f>
        <v>82733</v>
      </c>
      <c r="H95" s="8">
        <f>ROUND(G95*$H$6,0)</f>
        <v>14892</v>
      </c>
      <c r="I95" s="8">
        <f>G95+H95</f>
        <v>97625</v>
      </c>
      <c r="J95" s="8">
        <f>ROUND(G95*$J$6,)</f>
        <v>827</v>
      </c>
      <c r="K95" s="8">
        <f>(G95*$K$6)</f>
        <v>4136.6500000000005</v>
      </c>
      <c r="L95" s="8">
        <v>0</v>
      </c>
      <c r="M95" s="13">
        <f>H95</f>
        <v>14892</v>
      </c>
      <c r="N95" s="8">
        <f>ROUND(I95-SUM(J95:M95),0)</f>
        <v>77769</v>
      </c>
      <c r="O95" s="8"/>
      <c r="P95" s="8" t="s">
        <v>111</v>
      </c>
      <c r="Q95" s="8">
        <v>77769</v>
      </c>
      <c r="R95" s="8">
        <v>0</v>
      </c>
      <c r="S95" s="8">
        <v>0</v>
      </c>
      <c r="T95" s="8">
        <v>0</v>
      </c>
      <c r="U95" s="8">
        <f t="shared" ref="U95" si="49">Q95-R95</f>
        <v>77769</v>
      </c>
      <c r="V95" s="18" t="s">
        <v>110</v>
      </c>
      <c r="W95" s="1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</row>
    <row r="96" spans="1:87" x14ac:dyDescent="0.25">
      <c r="A96" s="15"/>
      <c r="B96" s="24"/>
      <c r="C96" s="1"/>
      <c r="D96" s="25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18"/>
      <c r="W96" s="15"/>
    </row>
    <row r="97" spans="1:87" s="11" customFormat="1" x14ac:dyDescent="0.25">
      <c r="A97" s="16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23">
        <f>A98</f>
        <v>58560</v>
      </c>
      <c r="P97" s="13"/>
      <c r="Q97" s="13"/>
      <c r="R97" s="13"/>
      <c r="S97" s="13"/>
      <c r="T97" s="13"/>
      <c r="U97" s="13"/>
      <c r="V97" s="16"/>
      <c r="W97" s="56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5"/>
      <c r="CI97" s="35"/>
    </row>
    <row r="98" spans="1:87" ht="28.5" x14ac:dyDescent="0.25">
      <c r="A98" s="37">
        <v>58560</v>
      </c>
      <c r="B98" s="24" t="s">
        <v>180</v>
      </c>
      <c r="C98" s="1">
        <v>45131</v>
      </c>
      <c r="D98" s="25">
        <v>36</v>
      </c>
      <c r="E98" s="8">
        <f>2475000*5%</f>
        <v>123750</v>
      </c>
      <c r="F98" s="8">
        <v>8991</v>
      </c>
      <c r="G98" s="8">
        <f>ROUND(E98-F98,)</f>
        <v>114759</v>
      </c>
      <c r="H98" s="8">
        <f>ROUND(G98*$H$6,0)</f>
        <v>20657</v>
      </c>
      <c r="I98" s="8">
        <f>G98+H98</f>
        <v>135416</v>
      </c>
      <c r="J98" s="8">
        <f>ROUND(G98*$J$6,)</f>
        <v>1148</v>
      </c>
      <c r="K98" s="8">
        <f>(G98*$K$6)</f>
        <v>5737.9500000000007</v>
      </c>
      <c r="L98" s="8">
        <f>ROUND(G98*$L$6,)</f>
        <v>11476</v>
      </c>
      <c r="M98" s="13">
        <f>H98</f>
        <v>20657</v>
      </c>
      <c r="N98" s="8">
        <f>ROUND(I98-SUM(J98:M98),0)</f>
        <v>96397</v>
      </c>
      <c r="O98" s="8"/>
      <c r="P98" s="8" t="s">
        <v>112</v>
      </c>
      <c r="Q98" s="8">
        <v>96397</v>
      </c>
      <c r="R98" s="8">
        <v>0</v>
      </c>
      <c r="S98" s="8">
        <v>0</v>
      </c>
      <c r="T98" s="8">
        <v>0</v>
      </c>
      <c r="U98" s="8">
        <f>Q98-R98</f>
        <v>96397</v>
      </c>
      <c r="V98" s="18" t="s">
        <v>113</v>
      </c>
      <c r="W98" s="15"/>
    </row>
    <row r="99" spans="1:87" ht="28.5" x14ac:dyDescent="0.25">
      <c r="A99" s="37">
        <v>58560</v>
      </c>
      <c r="B99" s="24" t="s">
        <v>180</v>
      </c>
      <c r="C99" s="1">
        <v>45209</v>
      </c>
      <c r="D99" s="25">
        <v>40</v>
      </c>
      <c r="E99" s="8">
        <f>2475000*10%</f>
        <v>247500</v>
      </c>
      <c r="F99" s="8">
        <v>148663</v>
      </c>
      <c r="G99" s="8">
        <f>ROUND(E99-F99,)</f>
        <v>98837</v>
      </c>
      <c r="H99" s="8">
        <f>ROUND(G99*$H$6,0)</f>
        <v>17791</v>
      </c>
      <c r="I99" s="8">
        <f>G99+H99</f>
        <v>116628</v>
      </c>
      <c r="J99" s="8">
        <f>ROUND(G99*$J$6,)</f>
        <v>988</v>
      </c>
      <c r="K99" s="8">
        <f>(G99*$K$6)</f>
        <v>4941.8500000000004</v>
      </c>
      <c r="L99" s="8">
        <v>0</v>
      </c>
      <c r="M99" s="13">
        <f>H99</f>
        <v>17791</v>
      </c>
      <c r="N99" s="8">
        <f>ROUND(I99-SUM(J99:M99),0)</f>
        <v>92907</v>
      </c>
      <c r="O99" s="8"/>
      <c r="P99" s="26"/>
      <c r="Q99" s="8"/>
      <c r="R99" s="8">
        <v>0</v>
      </c>
      <c r="S99" s="8">
        <v>0</v>
      </c>
      <c r="T99" s="8">
        <v>0</v>
      </c>
      <c r="U99" s="8">
        <v>92907</v>
      </c>
      <c r="V99" s="8" t="s">
        <v>114</v>
      </c>
      <c r="W99" s="18"/>
    </row>
    <row r="100" spans="1:87" s="11" customFormat="1" x14ac:dyDescent="0.25">
      <c r="A100" s="16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23"/>
      <c r="P100" s="13"/>
      <c r="Q100" s="13"/>
      <c r="R100" s="13"/>
      <c r="S100" s="13"/>
      <c r="T100" s="13"/>
      <c r="U100" s="13"/>
      <c r="V100" s="16"/>
      <c r="W100" s="56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35"/>
      <c r="BR100" s="35"/>
      <c r="BS100" s="35"/>
      <c r="BT100" s="35"/>
      <c r="BU100" s="35"/>
      <c r="BV100" s="35"/>
      <c r="BW100" s="35"/>
      <c r="BX100" s="35"/>
      <c r="BY100" s="35"/>
      <c r="BZ100" s="35"/>
      <c r="CA100" s="35"/>
      <c r="CB100" s="35"/>
      <c r="CC100" s="35"/>
      <c r="CD100" s="35"/>
      <c r="CE100" s="35"/>
      <c r="CF100" s="35"/>
      <c r="CG100" s="35"/>
      <c r="CH100" s="35"/>
      <c r="CI100" s="35"/>
    </row>
    <row r="101" spans="1:87" ht="15.75" thickBot="1" x14ac:dyDescent="0.3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4"/>
    </row>
    <row r="102" spans="1:87" x14ac:dyDescent="0.25">
      <c r="A102" s="21"/>
      <c r="B102" s="21"/>
      <c r="C102" s="21"/>
      <c r="D102" s="21"/>
      <c r="E102" s="45"/>
      <c r="F102" s="21"/>
      <c r="G102" s="45"/>
      <c r="H102" s="21"/>
      <c r="I102" s="21"/>
      <c r="J102" s="21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21"/>
      <c r="W102" s="45"/>
    </row>
    <row r="103" spans="1:87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15"/>
    </row>
    <row r="104" spans="1:87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33"/>
      <c r="T104" s="8"/>
      <c r="U104" s="33"/>
      <c r="V104" s="8"/>
      <c r="W104" s="15"/>
    </row>
    <row r="105" spans="1:87" ht="15.75" thickBo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19"/>
    </row>
    <row r="109" spans="1:87" ht="15.75" thickBot="1" x14ac:dyDescent="0.3">
      <c r="G109" s="65"/>
      <c r="H109" s="65"/>
      <c r="I109" s="65"/>
      <c r="J109" s="65"/>
    </row>
    <row r="110" spans="1:87" ht="19.5" thickBot="1" x14ac:dyDescent="0.3">
      <c r="G110" s="65"/>
      <c r="H110" s="65"/>
      <c r="I110" s="65"/>
      <c r="J110" s="65"/>
      <c r="L110" s="66"/>
      <c r="M110" s="66"/>
      <c r="N110" s="66"/>
      <c r="O110" s="66"/>
    </row>
    <row r="111" spans="1:87" ht="16.5" thickBot="1" x14ac:dyDescent="0.3">
      <c r="L111" s="67"/>
      <c r="M111" s="67"/>
      <c r="N111" s="67"/>
      <c r="O111" s="67"/>
    </row>
    <row r="112" spans="1:87" ht="16.5" thickBot="1" x14ac:dyDescent="0.3">
      <c r="L112" s="67"/>
      <c r="M112" s="67"/>
      <c r="N112" s="68"/>
      <c r="O112" s="68"/>
    </row>
    <row r="113" spans="12:15" ht="16.5" thickBot="1" x14ac:dyDescent="0.3">
      <c r="L113" s="67"/>
      <c r="M113" s="67"/>
      <c r="N113" s="68"/>
      <c r="O113" s="68"/>
    </row>
    <row r="114" spans="12:15" ht="16.5" thickBot="1" x14ac:dyDescent="0.3">
      <c r="L114" s="67"/>
      <c r="M114" s="67"/>
      <c r="N114" s="68"/>
      <c r="O114" s="68"/>
    </row>
    <row r="115" spans="12:15" ht="16.5" thickBot="1" x14ac:dyDescent="0.3">
      <c r="L115" s="69"/>
      <c r="M115" s="70"/>
      <c r="N115" s="71"/>
      <c r="O115" s="72"/>
    </row>
    <row r="116" spans="12:15" ht="16.5" thickBot="1" x14ac:dyDescent="0.3">
      <c r="L116" s="69"/>
      <c r="M116" s="70"/>
      <c r="N116" s="71"/>
      <c r="O116" s="72"/>
    </row>
    <row r="117" spans="12:15" ht="16.5" thickBot="1" x14ac:dyDescent="0.3">
      <c r="L117" s="69"/>
      <c r="M117" s="70"/>
      <c r="N117" s="71"/>
      <c r="O117" s="72"/>
    </row>
    <row r="118" spans="12:15" ht="16.5" thickBot="1" x14ac:dyDescent="0.3">
      <c r="L118" s="69"/>
      <c r="M118" s="70"/>
      <c r="N118" s="71"/>
      <c r="O118" s="72"/>
    </row>
  </sheetData>
  <mergeCells count="18">
    <mergeCell ref="N117:O117"/>
    <mergeCell ref="N118:O118"/>
    <mergeCell ref="L117:M117"/>
    <mergeCell ref="L118:M118"/>
    <mergeCell ref="L116:M116"/>
    <mergeCell ref="N116:O116"/>
    <mergeCell ref="L114:M114"/>
    <mergeCell ref="N114:O114"/>
    <mergeCell ref="L115:M115"/>
    <mergeCell ref="N115:O115"/>
    <mergeCell ref="L113:M113"/>
    <mergeCell ref="N113:O113"/>
    <mergeCell ref="G109:J109"/>
    <mergeCell ref="G110:J110"/>
    <mergeCell ref="L110:O110"/>
    <mergeCell ref="L111:O111"/>
    <mergeCell ref="L112:M112"/>
    <mergeCell ref="N112:O112"/>
  </mergeCells>
  <phoneticPr fontId="10" type="noConversion"/>
  <pageMargins left="0.7" right="0.7" top="0.75" bottom="0.75" header="0.3" footer="0.3"/>
  <pageSetup scale="27" fitToHeight="0" orientation="portrait" r:id="rId1"/>
  <rowBreaks count="1" manualBreakCount="1">
    <brk id="54" max="22" man="1"/>
  </rowBreaks>
  <ignoredErrors>
    <ignoredError sqref="N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G14:L22"/>
  <sheetViews>
    <sheetView workbookViewId="0">
      <selection activeCell="G15" sqref="G15:L22"/>
    </sheetView>
  </sheetViews>
  <sheetFormatPr defaultRowHeight="15" x14ac:dyDescent="0.25"/>
  <cols>
    <col min="11" max="11" width="58.7109375" bestFit="1" customWidth="1"/>
    <col min="12" max="12" width="18.5703125" customWidth="1"/>
  </cols>
  <sheetData>
    <row r="14" spans="7:12" ht="15.75" thickBot="1" x14ac:dyDescent="0.3"/>
    <row r="15" spans="7:12" ht="21.75" thickBot="1" x14ac:dyDescent="0.3">
      <c r="G15" s="73" t="s">
        <v>6</v>
      </c>
      <c r="H15" s="73"/>
      <c r="I15" s="73"/>
      <c r="J15" s="73"/>
      <c r="K15" s="73"/>
      <c r="L15" s="73"/>
    </row>
    <row r="16" spans="7:12" ht="19.5" thickBot="1" x14ac:dyDescent="0.3">
      <c r="G16" s="66"/>
      <c r="H16" s="66"/>
      <c r="I16" s="66"/>
      <c r="J16" s="66"/>
      <c r="K16" s="66"/>
      <c r="L16" s="66"/>
    </row>
    <row r="17" spans="7:12" ht="19.5" thickBot="1" x14ac:dyDescent="0.3">
      <c r="G17" s="66" t="s">
        <v>120</v>
      </c>
      <c r="H17" s="66"/>
      <c r="I17" s="66"/>
      <c r="J17" s="66"/>
      <c r="K17" s="36" t="s">
        <v>133</v>
      </c>
      <c r="L17" s="55">
        <v>844169.43499999994</v>
      </c>
    </row>
    <row r="18" spans="7:12" ht="19.5" thickBot="1" x14ac:dyDescent="0.3">
      <c r="G18" s="66" t="s">
        <v>119</v>
      </c>
      <c r="H18" s="66"/>
      <c r="I18" s="66"/>
      <c r="J18" s="66"/>
      <c r="K18" s="20" t="s">
        <v>134</v>
      </c>
      <c r="L18" s="55">
        <f>197750+65634+733101</f>
        <v>996485</v>
      </c>
    </row>
    <row r="19" spans="7:12" ht="19.5" thickBot="1" x14ac:dyDescent="0.3">
      <c r="G19" s="66" t="s">
        <v>135</v>
      </c>
      <c r="H19" s="66"/>
      <c r="I19" s="66"/>
      <c r="J19" s="66"/>
      <c r="K19" s="20"/>
      <c r="L19" s="20">
        <v>484408</v>
      </c>
    </row>
    <row r="20" spans="7:12" ht="19.5" thickBot="1" x14ac:dyDescent="0.3">
      <c r="G20" s="66" t="s">
        <v>132</v>
      </c>
      <c r="H20" s="66"/>
      <c r="I20" s="66"/>
      <c r="J20" s="66"/>
      <c r="K20" s="20"/>
      <c r="L20" s="20">
        <v>1044414</v>
      </c>
    </row>
    <row r="21" spans="7:12" ht="19.5" thickBot="1" x14ac:dyDescent="0.3">
      <c r="G21" s="66" t="s">
        <v>136</v>
      </c>
      <c r="H21" s="66"/>
      <c r="I21" s="66"/>
      <c r="J21" s="66"/>
      <c r="K21" s="20"/>
      <c r="L21" s="20">
        <v>223190</v>
      </c>
    </row>
    <row r="22" spans="7:12" ht="19.5" thickBot="1" x14ac:dyDescent="0.3">
      <c r="G22" s="66" t="s">
        <v>137</v>
      </c>
      <c r="H22" s="66"/>
      <c r="I22" s="66"/>
      <c r="J22" s="66"/>
      <c r="K22" s="20"/>
      <c r="L22" s="20">
        <f>L20-L21</f>
        <v>821224</v>
      </c>
    </row>
  </sheetData>
  <mergeCells count="8">
    <mergeCell ref="G20:J20"/>
    <mergeCell ref="G21:J21"/>
    <mergeCell ref="G22:J22"/>
    <mergeCell ref="G15:L15"/>
    <mergeCell ref="G16:L16"/>
    <mergeCell ref="G17:J17"/>
    <mergeCell ref="G18:J18"/>
    <mergeCell ref="G19:J19"/>
  </mergeCells>
  <pageMargins left="0.51181102362204722" right="0.70866141732283472" top="0.74803149606299213" bottom="0.74803149606299213" header="0.31496062992125984" footer="0.31496062992125984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2024-05-06T12:23:40Z</cp:lastPrinted>
  <dcterms:created xsi:type="dcterms:W3CDTF">2022-06-10T14:11:52Z</dcterms:created>
  <dcterms:modified xsi:type="dcterms:W3CDTF">2025-06-25T08:11:00Z</dcterms:modified>
</cp:coreProperties>
</file>