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S CONSTRUCTION CO\"/>
    </mc:Choice>
  </mc:AlternateContent>
  <xr:revisionPtr revIDLastSave="0" documentId="13_ncr:1_{2AD67BAB-BDB6-4C74-9248-CB3D06059AE1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_FilterDatabase" localSheetId="0" hidden="1">Sheet1!$A$5:$V$28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6" i="1" l="1"/>
  <c r="T18" i="1" l="1"/>
  <c r="Q45" i="1" l="1"/>
  <c r="O27" i="1" l="1"/>
  <c r="G106" i="1"/>
  <c r="J106" i="1" s="1"/>
  <c r="K106" i="1" l="1"/>
  <c r="M106" i="1"/>
  <c r="H106" i="1"/>
  <c r="O106" i="1" s="1"/>
  <c r="E107" i="1" s="1"/>
  <c r="P107" i="1" s="1"/>
  <c r="L106" i="1"/>
  <c r="G96" i="1"/>
  <c r="M96" i="1" s="1"/>
  <c r="Q109" i="1"/>
  <c r="G110" i="1"/>
  <c r="M110" i="1" s="1"/>
  <c r="Q113" i="1"/>
  <c r="G114" i="1"/>
  <c r="M114" i="1" s="1"/>
  <c r="I106" i="1" l="1"/>
  <c r="P106" i="1" s="1"/>
  <c r="J96" i="1"/>
  <c r="L96" i="1"/>
  <c r="K96" i="1"/>
  <c r="H96" i="1"/>
  <c r="O96" i="1" s="1"/>
  <c r="E97" i="1" s="1"/>
  <c r="P97" i="1" s="1"/>
  <c r="K110" i="1"/>
  <c r="J110" i="1"/>
  <c r="H110" i="1"/>
  <c r="O110" i="1" s="1"/>
  <c r="E111" i="1" s="1"/>
  <c r="P111" i="1" s="1"/>
  <c r="L114" i="1"/>
  <c r="L110" i="1"/>
  <c r="H114" i="1"/>
  <c r="O114" i="1" s="1"/>
  <c r="E115" i="1" s="1"/>
  <c r="P115" i="1" s="1"/>
  <c r="J114" i="1"/>
  <c r="K114" i="1"/>
  <c r="O54" i="1"/>
  <c r="G94" i="1"/>
  <c r="J94" i="1" s="1"/>
  <c r="I96" i="1" l="1"/>
  <c r="P96" i="1" s="1"/>
  <c r="I110" i="1"/>
  <c r="P110" i="1" s="1"/>
  <c r="I114" i="1"/>
  <c r="P114" i="1" s="1"/>
  <c r="K94" i="1"/>
  <c r="L94" i="1"/>
  <c r="M94" i="1"/>
  <c r="H94" i="1"/>
  <c r="O94" i="1" s="1"/>
  <c r="E95" i="1" s="1"/>
  <c r="P95" i="1" s="1"/>
  <c r="P11" i="1"/>
  <c r="P10" i="1"/>
  <c r="L9" i="1"/>
  <c r="O9" i="1"/>
  <c r="M9" i="1"/>
  <c r="K9" i="1"/>
  <c r="J9" i="1"/>
  <c r="J8" i="1"/>
  <c r="M8" i="1"/>
  <c r="L8" i="1"/>
  <c r="K8" i="1"/>
  <c r="O8" i="1"/>
  <c r="G104" i="1"/>
  <c r="M104" i="1" s="1"/>
  <c r="P9" i="1" l="1"/>
  <c r="I94" i="1"/>
  <c r="P94" i="1" s="1"/>
  <c r="P8" i="1"/>
  <c r="L104" i="1"/>
  <c r="J104" i="1"/>
  <c r="K104" i="1"/>
  <c r="H104" i="1"/>
  <c r="G58" i="1"/>
  <c r="K58" i="1" s="1"/>
  <c r="H58" i="1" l="1"/>
  <c r="O58" i="1" s="1"/>
  <c r="E59" i="1" s="1"/>
  <c r="P59" i="1" s="1"/>
  <c r="L58" i="1"/>
  <c r="O104" i="1"/>
  <c r="E105" i="1" s="1"/>
  <c r="P105" i="1" s="1"/>
  <c r="I104" i="1"/>
  <c r="J58" i="1"/>
  <c r="M58" i="1"/>
  <c r="T64" i="1"/>
  <c r="Q63" i="1"/>
  <c r="T46" i="1"/>
  <c r="J46" i="1"/>
  <c r="L46" i="1"/>
  <c r="G53" i="1"/>
  <c r="K53" i="1" s="1"/>
  <c r="T59" i="1"/>
  <c r="G22" i="1"/>
  <c r="K22" i="1" s="1"/>
  <c r="P104" i="1" l="1"/>
  <c r="I58" i="1"/>
  <c r="P58" i="1" s="1"/>
  <c r="L53" i="1"/>
  <c r="L22" i="1"/>
  <c r="M22" i="1"/>
  <c r="J22" i="1"/>
  <c r="H22" i="1"/>
  <c r="H53" i="1"/>
  <c r="I53" i="1" s="1"/>
  <c r="M53" i="1"/>
  <c r="J53" i="1"/>
  <c r="P22" i="1" l="1"/>
  <c r="I22" i="1"/>
  <c r="O22" i="1"/>
  <c r="E23" i="1" s="1"/>
  <c r="P23" i="1" s="1"/>
  <c r="O53" i="1"/>
  <c r="P53" i="1" l="1"/>
  <c r="E54" i="1"/>
  <c r="P54" i="1" s="1"/>
  <c r="T94" i="1"/>
  <c r="Q93" i="1"/>
  <c r="G34" i="1" l="1"/>
  <c r="L34" i="1" s="1"/>
  <c r="J34" i="1" l="1"/>
  <c r="H34" i="1"/>
  <c r="I34" i="1" s="1"/>
  <c r="K34" i="1"/>
  <c r="M34" i="1"/>
  <c r="P34" i="1" l="1"/>
  <c r="O34" i="1"/>
  <c r="E35" i="1"/>
  <c r="P35" i="1" s="1"/>
  <c r="G82" i="1"/>
  <c r="J82" i="1" s="1"/>
  <c r="L82" i="1" l="1"/>
  <c r="H82" i="1"/>
  <c r="O82" i="1" s="1"/>
  <c r="E83" i="1" s="1"/>
  <c r="P83" i="1" s="1"/>
  <c r="M82" i="1"/>
  <c r="K82" i="1"/>
  <c r="I82" i="1" l="1"/>
  <c r="P82" i="1" s="1"/>
  <c r="G90" i="1" l="1"/>
  <c r="M90" i="1" s="1"/>
  <c r="Q103" i="1"/>
  <c r="Q87" i="1"/>
  <c r="H90" i="1" l="1"/>
  <c r="O90" i="1" s="1"/>
  <c r="E91" i="1" s="1"/>
  <c r="G91" i="1" s="1"/>
  <c r="I91" i="1" s="1"/>
  <c r="P91" i="1" s="1"/>
  <c r="L90" i="1"/>
  <c r="J90" i="1"/>
  <c r="K90" i="1"/>
  <c r="G77" i="1"/>
  <c r="I77" i="1" s="1"/>
  <c r="P77" i="1" s="1"/>
  <c r="I90" i="1" l="1"/>
  <c r="P90" i="1" s="1"/>
  <c r="G70" i="1"/>
  <c r="I70" i="1" s="1"/>
  <c r="P70" i="1" s="1"/>
  <c r="G89" i="1" l="1"/>
  <c r="I89" i="1" s="1"/>
  <c r="P89" i="1" s="1"/>
  <c r="G69" i="1" l="1"/>
  <c r="M69" i="1" s="1"/>
  <c r="J69" i="1" l="1"/>
  <c r="L69" i="1"/>
  <c r="H69" i="1"/>
  <c r="O69" i="1" s="1"/>
  <c r="K69" i="1"/>
  <c r="G88" i="1"/>
  <c r="K88" i="1" l="1"/>
  <c r="H88" i="1"/>
  <c r="O88" i="1" s="1"/>
  <c r="I69" i="1"/>
  <c r="P69" i="1" s="1"/>
  <c r="J88" i="1"/>
  <c r="L88" i="1"/>
  <c r="M88" i="1"/>
  <c r="I88" i="1"/>
  <c r="G76" i="1"/>
  <c r="L76" i="1" s="1"/>
  <c r="J76" i="1" l="1"/>
  <c r="P88" i="1"/>
  <c r="M76" i="1"/>
  <c r="H76" i="1"/>
  <c r="O76" i="1" s="1"/>
  <c r="K76" i="1"/>
  <c r="T15" i="1"/>
  <c r="G14" i="1"/>
  <c r="I14" i="1" s="1"/>
  <c r="P14" i="1" s="1"/>
  <c r="G13" i="1"/>
  <c r="T14" i="1"/>
  <c r="T12" i="1"/>
  <c r="T20" i="1"/>
  <c r="T33" i="1"/>
  <c r="T32" i="1"/>
  <c r="M46" i="1"/>
  <c r="K46" i="1"/>
  <c r="O47" i="1"/>
  <c r="E47" i="1"/>
  <c r="G47" i="1" s="1"/>
  <c r="I47" i="1" s="1"/>
  <c r="T58" i="1"/>
  <c r="N67" i="1"/>
  <c r="G67" i="1"/>
  <c r="M67" i="1" s="1"/>
  <c r="T67" i="1"/>
  <c r="G74" i="1"/>
  <c r="M74" i="1" s="1"/>
  <c r="T80" i="1"/>
  <c r="Q79" i="1"/>
  <c r="Q73" i="1"/>
  <c r="Q66" i="1"/>
  <c r="Q57" i="1"/>
  <c r="Q50" i="1"/>
  <c r="Q7" i="1"/>
  <c r="Q19" i="1"/>
  <c r="Q26" i="1"/>
  <c r="Q31" i="1"/>
  <c r="Q38" i="1"/>
  <c r="P46" i="1" l="1"/>
  <c r="P47" i="1"/>
  <c r="I76" i="1"/>
  <c r="P76" i="1" s="1"/>
  <c r="L67" i="1"/>
  <c r="H67" i="1"/>
  <c r="O67" i="1" s="1"/>
  <c r="E68" i="1" s="1"/>
  <c r="P68" i="1" s="1"/>
  <c r="H13" i="1"/>
  <c r="O13" i="1" s="1"/>
  <c r="K13" i="1"/>
  <c r="J13" i="1"/>
  <c r="J67" i="1"/>
  <c r="K67" i="1"/>
  <c r="L74" i="1"/>
  <c r="H74" i="1"/>
  <c r="O74" i="1" s="1"/>
  <c r="E75" i="1" s="1"/>
  <c r="P75" i="1" s="1"/>
  <c r="J74" i="1"/>
  <c r="K74" i="1"/>
  <c r="O52" i="1"/>
  <c r="I74" i="1" l="1"/>
  <c r="P74" i="1" s="1"/>
  <c r="I13" i="1"/>
  <c r="I67" i="1"/>
  <c r="P67" i="1" s="1"/>
  <c r="P13" i="1"/>
  <c r="T51" i="1" l="1"/>
  <c r="G51" i="1"/>
  <c r="M51" i="1" l="1"/>
  <c r="H51" i="1"/>
  <c r="O51" i="1" s="1"/>
  <c r="J51" i="1"/>
  <c r="K51" i="1"/>
  <c r="L51" i="1"/>
  <c r="E52" i="1" l="1"/>
  <c r="P52" i="1" s="1"/>
  <c r="I51" i="1"/>
  <c r="P51" i="1" s="1"/>
  <c r="G80" i="1"/>
  <c r="L80" i="1" s="1"/>
  <c r="M80" i="1" l="1"/>
  <c r="J80" i="1"/>
  <c r="K80" i="1"/>
  <c r="G73" i="1" l="1"/>
  <c r="I73" i="1" s="1"/>
  <c r="J73" i="1" l="1"/>
  <c r="P73" i="1" s="1"/>
  <c r="H80" i="1" l="1"/>
  <c r="I80" i="1" s="1"/>
  <c r="O80" i="1" l="1"/>
  <c r="P80" i="1" l="1"/>
  <c r="E81" i="1"/>
  <c r="P81" i="1" s="1"/>
</calcChain>
</file>

<file path=xl/sharedStrings.xml><?xml version="1.0" encoding="utf-8"?>
<sst xmlns="http://schemas.openxmlformats.org/spreadsheetml/2006/main" count="285" uniqueCount="196">
  <si>
    <t>Amount</t>
  </si>
  <si>
    <t>PAYMENT NOTE No.</t>
  </si>
  <si>
    <t>UTR</t>
  </si>
  <si>
    <t>SD (5%)</t>
  </si>
  <si>
    <t>TDS (1%)</t>
  </si>
  <si>
    <t>On Commissioning</t>
  </si>
  <si>
    <t>Hydro Testing</t>
  </si>
  <si>
    <t>30-06-2023 NEFT/AXISP004045245856/RIUP23/967/ANS CONSTRUCTION CO 198000.00</t>
  </si>
  <si>
    <t>05-06-2023 IFT/IFT23156044932/RIUP23/506/ANS CONSTRUCTION CO 614170.00</t>
  </si>
  <si>
    <t>28-06-2023 IFT/IFT23179012449/RIUP23/906/ANS CONSTRUCTION CO 168582.00</t>
  </si>
  <si>
    <t>05-06-2023 IFT/IFT23156044930/RIUP23/519/ANS CONSTRUCTION CO 99000.00</t>
  </si>
  <si>
    <t>05-06-2023 IFT/IFT23156044931/RIUP23/518/ANS CONSTRUCTION CO 99000.00</t>
  </si>
  <si>
    <t>03-06-2023 IFT/IFT23154036937/RIUP23/495/ANS CONSTRUCTION CO 99000.00</t>
  </si>
  <si>
    <t>SPUP23/0110</t>
  </si>
  <si>
    <t>04-2023 14-04-2023 NEFT/AXISP00381847057/SPUP23/0110/ANS CONSTRUCTION 98000.00</t>
  </si>
  <si>
    <t>28-06-2023 NEFT/AXISP00401332308/RIUP23/820/ANS CONSTRUCTION 678839.00</t>
  </si>
  <si>
    <t>06-03-2023 NEFT/AXISP00369001731/RIUP22/2470/ANS CONSTRUCTIO 245000.00</t>
  </si>
  <si>
    <t>01-05-2023 NEFT/AXISP00385697764/SPUP23/0324/ANS CONSTRUCTION 211745.00</t>
  </si>
  <si>
    <t>01-05-2023 NEFT/AXISP00385697763/SPUP23/0325/ANS CONSTRUCTION 52298.00</t>
  </si>
  <si>
    <t>08-05-2023 NEFT/AXISP00388520665/RIUP23/133/ANS CONSTRUCTION 99053.00</t>
  </si>
  <si>
    <t>25-05-2023 NEFT/AXISP00392595806/RIUP23/375/ANS CONSTRUCTION 11342.00</t>
  </si>
  <si>
    <t>13-06-2023 NEFT/AXISP00398119352/RIUP23/649/ANS CONSTRUCTION 99000.00</t>
  </si>
  <si>
    <t>12-04-2023 12-04-2023 NEFT/AXISP00381313157/SPUP23/0095/ANS CONSTRUCTIO 245000.00</t>
  </si>
  <si>
    <t>20-04-2023 20-04-2023 NEFT/AXISP00383281385/SPUP23/0217/ANS CONSTRUCTIO 98000.00</t>
  </si>
  <si>
    <t>25-05-2023 NEFT/AXISP00392595807/RIUP23/376/ANS CONSTRUCTION 117366.00</t>
  </si>
  <si>
    <t>RIUP22/1802</t>
  </si>
  <si>
    <t>07-01-2023 NEFT/AXISP00352981891/RIUP22/1802/ANS CONSTRUCTIO 396016.00</t>
  </si>
  <si>
    <t>24-01-2023 NEFT/AXISP00356837279/RIUP22/1917/ANS CONSTRUCTIO 118378.00</t>
  </si>
  <si>
    <t>RIUP22/1065</t>
  </si>
  <si>
    <t>20-10-2022 NEFT/AXISP00330252343/RIUP22/1065/ANS CONSTRUCTIO 294000.00</t>
  </si>
  <si>
    <t>RIUP22/2471</t>
  </si>
  <si>
    <t>06-03-2023 NEFT/AXISP00369001732/RIUP22/2471/ANS CONSTRUCTIO 441000.00</t>
  </si>
  <si>
    <t>01-05-2023 NEFT/AXISP00385697768/SPUP23/0326/ANS CONSTRUCTION 32270.00</t>
  </si>
  <si>
    <t>08-05-2023 NEFT/AXISP00388520666/RIUP23/132/ANS CONSTRUCTION 189190.00</t>
  </si>
  <si>
    <t>RIUP22/1079</t>
  </si>
  <si>
    <t>21-10-2022 NEFT/AXISP00331059031/RIUP22/1079/ANS CONSTRUCTIO 237085.00</t>
  </si>
  <si>
    <t>RIUP22/1490</t>
  </si>
  <si>
    <t>13-12-2022 NEFT/AXISP00345979698/RIUP22/1490/ANS CONSTRUCTIO 87008.00</t>
  </si>
  <si>
    <t>RIUP22/1568</t>
  </si>
  <si>
    <t>20-12-2022 NEFT/AXISP00347623937/RIUP22/1568/ANS CONSTRUCTIO 59709.00</t>
  </si>
  <si>
    <t>RIUP22/1654</t>
  </si>
  <si>
    <t xml:space="preserve">27-12-2022 NEFT/AXISP00348938392/RIUP22/1654/ANS CONSTRUCTIO 200000.00
</t>
  </si>
  <si>
    <t>RIUP22/1768</t>
  </si>
  <si>
    <t>03-01-2023 NEFT/AXISP00351431421/RIUP22/1768/ANS CONSTRUCTIO 98,000.00</t>
  </si>
  <si>
    <t>17-01-2023 NEFT/AXISP00355565999/RIUP22/1790/ANS CONSTRUCTIO 22731.00</t>
  </si>
  <si>
    <t>RIUP23/495</t>
  </si>
  <si>
    <t>RIUP23/967</t>
  </si>
  <si>
    <t>RIUP23/1057</t>
  </si>
  <si>
    <t>15-07-2023 IFT/IFT23196009846/RIUP23/1057/ANS CONSTRUCTION C 601503.00</t>
  </si>
  <si>
    <t>RIUP23/1198</t>
  </si>
  <si>
    <t>25-07-2023 IFT/IFT23206056304/RIUP23/1198/ANS CONSTRUCTION C 204343.00</t>
  </si>
  <si>
    <t>11-08-2023 IFT/IFT23223052302/RIUP23/1469/ANS CONSTRUCTION C ₹ 5,00,000.00</t>
  </si>
  <si>
    <t>08-09-2023 IFT/IFT23251019734/RIUP23/1891/ANS CONSTRUCTION C ₹ 2,63,504.00</t>
  </si>
  <si>
    <t>08-09-2023 IFT/IFT23251019733/RIUP23/1892/ANS CONSTRUCTION C ₹ 2,88,666.00</t>
  </si>
  <si>
    <t>RIUP23/1469</t>
  </si>
  <si>
    <t>RIUP23/1891</t>
  </si>
  <si>
    <t>RIUP23/1892</t>
  </si>
  <si>
    <t>RIUP23/506</t>
  </si>
  <si>
    <t>RIUP23/906</t>
  </si>
  <si>
    <t>14-07-2023 IFT/IFT23195050485/RIUP23/1056A/ANS CONSTRUCTION 357601.00</t>
  </si>
  <si>
    <t>25-07-2023 IFT/IFT23206056302/RIUP23/1197/ANS CONSTRUCTION C 149852.00</t>
  </si>
  <si>
    <t>RIUP23/519</t>
  </si>
  <si>
    <t>RIUP23/1056A</t>
  </si>
  <si>
    <t>RIUP23/1197</t>
  </si>
  <si>
    <t>RIUP23/518</t>
  </si>
  <si>
    <t>25-08-2023 NEFT/AXISP00418333471/RIUP23/1199/ANS CONSTRUCTION 221559.00</t>
  </si>
  <si>
    <t>RIUP23/820</t>
  </si>
  <si>
    <t>RIUP23/1199</t>
  </si>
  <si>
    <t>RIUP23/2470</t>
  </si>
  <si>
    <t>RIUP23/0324</t>
  </si>
  <si>
    <t>RIUP23/0325</t>
  </si>
  <si>
    <t>RIUP23/133</t>
  </si>
  <si>
    <t>RIUP23/375</t>
  </si>
  <si>
    <t>RIUP23/649</t>
  </si>
  <si>
    <t>RIUP23/0095</t>
  </si>
  <si>
    <t>RIUP23/0217</t>
  </si>
  <si>
    <t>RIUP23/376</t>
  </si>
  <si>
    <t>RIUP22/1917</t>
  </si>
  <si>
    <t>RIUP22/0326</t>
  </si>
  <si>
    <t>RIUP22/132</t>
  </si>
  <si>
    <t>17-01-2023 NEFT/AXISP00355566000/RIUP22/1881/ANS CONSTRUCTIO 98000.00</t>
  </si>
  <si>
    <t>28-08-2023 NEFT/AXISP00418870944/RIUP23/1752/ANS CONSTRUCTION/ 148500.00</t>
  </si>
  <si>
    <t>08-09-2023 NEFT/AXISP00423107627/RIUP23/1893/ANS CONSTRUCTION/₹ 3,86,147.00</t>
  </si>
  <si>
    <t>RIUP22/1790</t>
  </si>
  <si>
    <t>RIUP22/1881</t>
  </si>
  <si>
    <t>RIUP22/1752</t>
  </si>
  <si>
    <t>RIUP22/1893</t>
  </si>
  <si>
    <t>11-10-2023 IFT/IFT23284023813/RIUP23/2506/ANS CONSTRUCTION C 470040.00</t>
  </si>
  <si>
    <t>11-10-2023 IFT/IFT23284023810/RIUP23/2440/ANS CONSTRUCTION C 356668.00</t>
  </si>
  <si>
    <t>RIUP23/2440</t>
  </si>
  <si>
    <t>RIUP23/2506</t>
  </si>
  <si>
    <t>RIUP23/2420</t>
  </si>
  <si>
    <t>17-10-2023 IFT/IFT23290024870/RIUP23/2420/ANS CONSTRUCTION C 357920.00</t>
  </si>
  <si>
    <t>30-11-2023 IFT/IFT23334203164/RIUP23/3501/ANS CONSTRUCTION C 626476.00</t>
  </si>
  <si>
    <t>26-12-2023 IFT/IFT23360006771/RIUP23/3907/ANS CONSTRUCTION C 152386.00</t>
  </si>
  <si>
    <t>RIUP23/3501</t>
  </si>
  <si>
    <t>RIUP23/3907</t>
  </si>
  <si>
    <t>08-11-2023 IFT/IFT23312068899/RIUP23/2913/ANS CONSTRUCTION C 99617.00</t>
  </si>
  <si>
    <t>09-01-2024 IFT/IFT24009010983/RIUP23/4177/ANS CONSTRUCTION C 99000.00</t>
  </si>
  <si>
    <t>RIUP23/4177</t>
  </si>
  <si>
    <t>17-01-2024 NEFT/AXISP00463099938/RIUP23/4120/ANS CONSTRUCTION  153085.00</t>
  </si>
  <si>
    <t>RIUP22/2320</t>
  </si>
  <si>
    <t>08-11-2023 IFT/IFT23312068901/RIUP23/2915/ANS CONSTRUCTION C 87062.00</t>
  </si>
  <si>
    <t>08-11-2023 IFT/IFT23312068900/RIUP23/2914/ANS CONSTRUCTION C 107098.00</t>
  </si>
  <si>
    <t>RIUP23/2914</t>
  </si>
  <si>
    <t>15-12-2023 IFT/IFT23349026039/RIUP23/3769/ANS CONSTRUCTION C 99000.00</t>
  </si>
  <si>
    <t>RIUP23/3769</t>
  </si>
  <si>
    <t>20-12-2023 IFT/IFT23354005100/RIUP23/3869/ANS CONSTRUCTION C 409458.00</t>
  </si>
  <si>
    <t>RIUP23/3869</t>
  </si>
  <si>
    <t>RIUP23/2913</t>
  </si>
  <si>
    <t>RIUP23/3145</t>
  </si>
  <si>
    <t>25-08-2023 IFT/IFT23237030566/RIUP23/1704/ANS CONSTRUCTION C 198000.00</t>
  </si>
  <si>
    <t>RIUP23/1704</t>
  </si>
  <si>
    <t>16-02-2024 IFT/IFT24047018638/RIUP23/4538/ANS CONSTRUCTION C ₹ 54,251.00</t>
  </si>
  <si>
    <t>RIUP23/4538</t>
  </si>
  <si>
    <t xml:space="preserve">10-11-2023 IFT/IFT23314125324/RIUP23/3145/ANS CONSTRUCTION C 345030.00 </t>
  </si>
  <si>
    <t>27-09-2023 NEFT/AXISP00427962773/RIUP23/2320/ANS CONSTRUCTION 122448.00</t>
  </si>
  <si>
    <t>16-02-2024 IFT/IFT24047018637/RIUP23/4533/ANS CONSTRUCTION C ₹ 2,50,679.00</t>
  </si>
  <si>
    <t>23-02-2024 IFT/IFT24054031871/RIUP23/4005/ANS CONSTRUCTION C ₹ 1,15,507.00</t>
  </si>
  <si>
    <t>20-03-2024 IFT/IFT24080037352/RIUP23/5070/ANS CONSTRUCTION C 600000.00</t>
  </si>
  <si>
    <t>05-04-2024 IFT/IFT24096054632/RIUP24/059/ANS CONSTRUCTION C 109638.00</t>
  </si>
  <si>
    <t>26-04-2024 IFT/IFT24117022557/RIUP24/0331/ANS CONSTRUCTION C 200000.00</t>
  </si>
  <si>
    <t>26-04-2024 NEFT/AXISP00493934366/RIUP23/4795/ANS CONSTRUCTION/SMCB0001020 37747.00</t>
  </si>
  <si>
    <t>26-04-2024 IFT/IFT24117006562/RIUP24/058/ANS CONSTRUCTION C 149684.00</t>
  </si>
  <si>
    <t>26-04-2024 IFT/IFT24117006561/RIUP24/057/ANS CONSTRUCTION C 155311.00</t>
  </si>
  <si>
    <t>28-05-2024 IFT/IFT24149026959/RIUP24/0155/ANS CONSTRUCTION C 300000.00</t>
  </si>
  <si>
    <t>17-06-2024 NEFT YESIG41690031117-UTIB0001330-ANS CONSTRUCTION CO-RIUP24/0887 RS 2,34,155.00</t>
  </si>
  <si>
    <t>03-08-2024 IFT/IFT24216017338/RIUP24/0664/ANS CONSTRUCTION C 600000.00</t>
  </si>
  <si>
    <t>26-07-2024 IFT/IFT24208032393/RIUP24/0957/ANS CONSTRUCTION C 277718.00</t>
  </si>
  <si>
    <t>21-08-2024 IFT/IFT24234024961/RIUP24/1482/ANS CONSTRUCTION C 531720.00</t>
  </si>
  <si>
    <t>23-08-2024 IFT/IFT24236039446/SKUP24/161/ANS CONSTRUCTION C 198000.00</t>
  </si>
  <si>
    <t>29-08-2024 IFT/IFT24242064956/RIUP24/1567/ANS CONSTRUCTION C 297000.00</t>
  </si>
  <si>
    <t>29-08-2024 IFT/IFT24242064955/RIUP24/1566/ANS CONSTRUCTION C 49500.00</t>
  </si>
  <si>
    <t>29-08-2024 IFT/IFT24242064958/RIUP24/1569/ANS CONSTRUCTION C 49500.00</t>
  </si>
  <si>
    <t>29-08-2024 IFT/IFT24242064957/RIUP24/1568/ANS CONSTRUCTION C 49500.00</t>
  </si>
  <si>
    <t>29-08-2024 IFT/IFT24242064954/RIUP24/1565/ANS CONSTRUCTION C 49500.00</t>
  </si>
  <si>
    <t>29-08-2024 IFT/IFT24242064953/RIUP24/1564/ANS CONSTRUCTION C 148500.00</t>
  </si>
  <si>
    <t>29-08-2024 NEFT/AXISP00533195022/RIUP24/1570/ANS CONSTRUCTION/SMCB0001020 98000.00</t>
  </si>
  <si>
    <t>Hold - 13.9.23</t>
  </si>
  <si>
    <t>13-09-2024 NEFT/AXISP00540414569/RIUP24/1788/ANS CONSTRUCTION/SMCB0001020 99000.00</t>
  </si>
  <si>
    <t>RIUP24/1788</t>
  </si>
  <si>
    <t>13-09-2024 NEFT/AXISP00540414568/RIUP24/1787/ANS CONSTRUCTION/SMCB0001020 88200.00</t>
  </si>
  <si>
    <t>RIUP24/1787</t>
  </si>
  <si>
    <t>13-09-2024 NEFT/AXISP00540414567/RIUP24/1786/ANS CONSTRUCTION/SMCB0001020 98000.00</t>
  </si>
  <si>
    <t>RIUP24/1786</t>
  </si>
  <si>
    <t>13-09-2024 IFT/IFT24257042522/RIUP24/0669/ANS CONSTRUCTION C 133848.00</t>
  </si>
  <si>
    <t>13-09-2024 IFT/IFT24257042520/RIUP24/0140/ANS CONSTRUCTION C 57246.00</t>
  </si>
  <si>
    <t>13-09-2024 IFT/IFT24257042523/RIUP24/1130/ANS CONSTRUCTION C 22232.00</t>
  </si>
  <si>
    <t>07-12-2024 IFT/IFT24342114029/RIUP24/2658/ANS CONSTRUCTION C 74250.00</t>
  </si>
  <si>
    <t>19-12-2024 IFT/IFT24354010807/RIUP24/2741/ANS CONSTRUCTION C 99000.00</t>
  </si>
  <si>
    <t>21-03-2025 IFT/IFT25080045423/RIUP24/3472/ANS CONSTRUCTION C - ₹ 1,48,500.00</t>
  </si>
  <si>
    <t>31-03-2025 IFT/IFT25090121696/RIUP24/3529/ANS CONSTRUCTION C 99000.00</t>
  </si>
  <si>
    <t/>
  </si>
  <si>
    <t>GST RELEASE</t>
  </si>
  <si>
    <t>MISC.DEPOSIT  RELEASE</t>
  </si>
  <si>
    <t xml:space="preserve"> RAIPUR NAGLI  - KHATAULI - PIPELINE</t>
  </si>
  <si>
    <t>28-04-2025 IFT/IFT25118024095/RIUP25/0161/ANS CONSTRUCTION C 198000.00</t>
  </si>
  <si>
    <t>30-04-2025 IFT/IFT25120236348/RIUP25/0182/ANS CONSTRUCTION C 99000.00</t>
  </si>
  <si>
    <t>Subcontractor:</t>
  </si>
  <si>
    <t>State:</t>
  </si>
  <si>
    <t>Uttar Pradesh</t>
  </si>
  <si>
    <t>District:</t>
  </si>
  <si>
    <t>Muzaffarnagar</t>
  </si>
  <si>
    <t>Block:</t>
  </si>
  <si>
    <t>ANS CONSTRUCTIONS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</si>
  <si>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</si>
  <si>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</si>
  <si>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</si>
  <si>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</si>
  <si>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</si>
  <si>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</si>
  <si>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</si>
  <si>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</si>
  <si>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Hold Amount For Material</t>
  </si>
  <si>
    <t>GST_SD_Amount</t>
  </si>
  <si>
    <t>Final_Amount</t>
  </si>
  <si>
    <t>Payment_Amount</t>
  </si>
  <si>
    <t>TDS_Payment_Amount</t>
  </si>
  <si>
    <t>Total_Amount</t>
  </si>
  <si>
    <t>GST Release Note</t>
  </si>
  <si>
    <t>MANGANPUR Village PIPELINE Work</t>
  </si>
  <si>
    <t>KALLARPUR Village PIPELINE Work</t>
  </si>
  <si>
    <t>KHANPUR Village PIPE LAYING Work</t>
  </si>
  <si>
    <t>RAMPUR Village PIPELINE Work</t>
  </si>
  <si>
    <t>AMBEPUR MATHEDI Village PIPELINE Work</t>
  </si>
  <si>
    <t>RASULPUR KAILORA Village PIPELINE Work</t>
  </si>
  <si>
    <t xml:space="preserve"> SHAHBAZPUR TIGAI Village PIPELINE Work</t>
  </si>
  <si>
    <t xml:space="preserve"> GANGDHARI Village PIPELINE Work</t>
  </si>
  <si>
    <t>SARDAN Village PIPELINE Work</t>
  </si>
  <si>
    <t>KHANPUR Village PIPELINE Work</t>
  </si>
  <si>
    <t>BASAYCH Village PIPELINE Work</t>
  </si>
  <si>
    <t>YAHIYAPUR Village PIPELINE Work</t>
  </si>
  <si>
    <t xml:space="preserve"> ANTI Village PIPELINE Work</t>
  </si>
  <si>
    <t>KADLI Village PIPELINE Work</t>
  </si>
  <si>
    <t>HAIDERNAGAR Village PIPELINE Work</t>
  </si>
  <si>
    <t>AKBARGARH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</si>
</sst>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i/>
      <sz val="12"/>
      <color theme="1"/>
      <name val="Times New Roman"/>
      <family val="1"/>
    </font>
    <font>
      <sz val="9"/>
      <color theme="1"/>
      <name val="Comic Sans MS"/>
      <family val="4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9"/>
      <color rgb="FFFF0000"/>
      <name val="Comic Sans MS"/>
      <family val="4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8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6" fillId="2" borderId="3" xfId="0" quotePrefix="1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" fontId="8" fillId="2" borderId="3" xfId="0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0" fillId="2" borderId="3" xfId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horizontal="right" vertical="center"/>
    </xf>
    <xf numFmtId="0" fontId="2" fillId="2" borderId="3" xfId="0" quotePrefix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9" fontId="2" fillId="2" borderId="4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43" fontId="10" fillId="4" borderId="3" xfId="1" applyNumberFormat="1" applyFont="1" applyFill="1" applyBorder="1" applyAlignment="1">
      <alignment vertical="center"/>
    </xf>
    <xf numFmtId="43" fontId="2" fillId="2" borderId="0" xfId="0" applyNumberFormat="1" applyFont="1" applyFill="1" applyAlignment="1">
      <alignment vertical="center"/>
    </xf>
    <xf numFmtId="43" fontId="10" fillId="2" borderId="3" xfId="1" applyNumberFormat="1" applyFont="1" applyFill="1" applyBorder="1" applyAlignment="1">
      <alignment vertical="center"/>
    </xf>
    <xf numFmtId="0" fontId="11" fillId="3" borderId="3" xfId="0" applyFont="1" applyFill="1" applyBorder="1" applyAlignment="1">
      <alignment horizontal="center" vertical="center" wrapText="1"/>
    </xf>
    <xf numFmtId="43" fontId="10" fillId="0" borderId="3" xfId="1" applyNumberFormat="1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43" fontId="2" fillId="0" borderId="5" xfId="1" applyNumberFormat="1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vertical="center"/>
    </xf>
    <xf numFmtId="0" fontId="15" fillId="2" borderId="0" xfId="0" applyFont="1" applyFill="1" applyAlignment="1">
      <alignment vertical="center" wrapText="1"/>
    </xf>
    <xf numFmtId="0" fontId="14" fillId="2" borderId="7" xfId="0" applyFont="1" applyFill="1" applyBorder="1" applyAlignment="1">
      <alignment horizontal="center" vertical="center" wrapText="1"/>
    </xf>
    <xf numFmtId="43" fontId="15" fillId="2" borderId="4" xfId="1" applyNumberFormat="1" applyFont="1" applyFill="1" applyBorder="1" applyAlignment="1">
      <alignment vertical="center" wrapText="1"/>
    </xf>
    <xf numFmtId="43" fontId="15" fillId="3" borderId="2" xfId="1" applyNumberFormat="1" applyFont="1" applyFill="1" applyBorder="1" applyAlignment="1">
      <alignment vertical="center" wrapText="1"/>
    </xf>
    <xf numFmtId="43" fontId="15" fillId="2" borderId="3" xfId="1" applyNumberFormat="1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 wrapText="1"/>
    </xf>
    <xf numFmtId="43" fontId="15" fillId="3" borderId="3" xfId="1" applyNumberFormat="1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 wrapText="1"/>
    </xf>
    <xf numFmtId="43" fontId="15" fillId="0" borderId="5" xfId="1" applyNumberFormat="1" applyFont="1" applyFill="1" applyBorder="1" applyAlignment="1">
      <alignment vertical="center" wrapText="1"/>
    </xf>
    <xf numFmtId="0" fontId="15" fillId="2" borderId="5" xfId="0" applyFont="1" applyFill="1" applyBorder="1" applyAlignment="1">
      <alignment horizontal="center" vertical="center" wrapText="1"/>
    </xf>
    <xf numFmtId="43" fontId="15" fillId="2" borderId="7" xfId="1" applyNumberFormat="1" applyFont="1" applyFill="1" applyBorder="1" applyAlignment="1">
      <alignment vertical="center" wrapText="1"/>
    </xf>
    <xf numFmtId="0" fontId="16" fillId="2" borderId="0" xfId="0" applyFont="1" applyFill="1" applyAlignment="1">
      <alignment vertical="center"/>
    </xf>
    <xf numFmtId="0" fontId="16" fillId="2" borderId="4" xfId="0" applyFont="1" applyFill="1" applyBorder="1" applyAlignment="1">
      <alignment vertical="center"/>
    </xf>
    <xf numFmtId="0" fontId="16" fillId="3" borderId="2" xfId="0" applyFont="1" applyFill="1" applyBorder="1" applyAlignment="1">
      <alignment vertical="center"/>
    </xf>
    <xf numFmtId="0" fontId="16" fillId="2" borderId="3" xfId="0" applyFont="1" applyFill="1" applyBorder="1" applyAlignment="1">
      <alignment vertical="center"/>
    </xf>
    <xf numFmtId="0" fontId="16" fillId="3" borderId="3" xfId="0" applyFont="1" applyFill="1" applyBorder="1" applyAlignment="1">
      <alignment vertical="center"/>
    </xf>
    <xf numFmtId="0" fontId="17" fillId="2" borderId="3" xfId="0" applyFont="1" applyFill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43" fontId="16" fillId="2" borderId="7" xfId="1" applyNumberFormat="1" applyFont="1" applyFill="1" applyBorder="1" applyAlignment="1">
      <alignment vertical="center"/>
    </xf>
    <xf numFmtId="43" fontId="16" fillId="2" borderId="3" xfId="1" applyNumberFormat="1" applyFont="1" applyFill="1" applyBorder="1" applyAlignment="1">
      <alignment vertical="center"/>
    </xf>
    <xf numFmtId="43" fontId="16" fillId="2" borderId="4" xfId="1" applyNumberFormat="1" applyFont="1" applyFill="1" applyBorder="1" applyAlignment="1">
      <alignment vertical="center"/>
    </xf>
    <xf numFmtId="14" fontId="12" fillId="2" borderId="0" xfId="0" applyNumberFormat="1" applyFont="1" applyFill="1" applyAlignment="1">
      <alignment vertical="center"/>
    </xf>
    <xf numFmtId="14" fontId="12" fillId="2" borderId="4" xfId="1" applyNumberFormat="1" applyFont="1" applyFill="1" applyBorder="1" applyAlignment="1">
      <alignment vertical="center"/>
    </xf>
    <xf numFmtId="14" fontId="12" fillId="3" borderId="2" xfId="1" applyNumberFormat="1" applyFont="1" applyFill="1" applyBorder="1" applyAlignment="1">
      <alignment vertical="center"/>
    </xf>
    <xf numFmtId="14" fontId="12" fillId="2" borderId="3" xfId="1" applyNumberFormat="1" applyFont="1" applyFill="1" applyBorder="1" applyAlignment="1">
      <alignment vertical="center"/>
    </xf>
    <xf numFmtId="14" fontId="12" fillId="2" borderId="3" xfId="0" applyNumberFormat="1" applyFont="1" applyFill="1" applyBorder="1" applyAlignment="1">
      <alignment vertical="center"/>
    </xf>
    <xf numFmtId="14" fontId="12" fillId="3" borderId="3" xfId="1" applyNumberFormat="1" applyFont="1" applyFill="1" applyBorder="1" applyAlignment="1">
      <alignment vertical="center"/>
    </xf>
    <xf numFmtId="15" fontId="13" fillId="2" borderId="3" xfId="0" applyNumberFormat="1" applyFont="1" applyFill="1" applyBorder="1" applyAlignment="1">
      <alignment horizontal="center" vertical="center"/>
    </xf>
    <xf numFmtId="14" fontId="13" fillId="2" borderId="3" xfId="0" applyNumberFormat="1" applyFont="1" applyFill="1" applyBorder="1" applyAlignment="1">
      <alignment horizontal="center" vertical="center"/>
    </xf>
    <xf numFmtId="14" fontId="12" fillId="2" borderId="3" xfId="0" applyNumberFormat="1" applyFont="1" applyFill="1" applyBorder="1" applyAlignment="1">
      <alignment horizontal="center" vertical="center"/>
    </xf>
    <xf numFmtId="14" fontId="12" fillId="0" borderId="5" xfId="1" applyNumberFormat="1" applyFont="1" applyFill="1" applyBorder="1" applyAlignment="1">
      <alignment vertical="center"/>
    </xf>
    <xf numFmtId="14" fontId="12" fillId="2" borderId="5" xfId="0" applyNumberFormat="1" applyFont="1" applyFill="1" applyBorder="1" applyAlignment="1">
      <alignment horizontal="center" vertical="center"/>
    </xf>
    <xf numFmtId="14" fontId="12" fillId="2" borderId="7" xfId="1" applyNumberFormat="1" applyFont="1" applyFill="1" applyBorder="1" applyAlignment="1">
      <alignment vertical="center"/>
    </xf>
    <xf numFmtId="4" fontId="8" fillId="2" borderId="4" xfId="0" applyNumberFormat="1" applyFont="1" applyFill="1" applyBorder="1" applyAlignment="1">
      <alignment vertical="center"/>
    </xf>
    <xf numFmtId="4" fontId="8" fillId="2" borderId="2" xfId="0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14" fontId="8" fillId="2" borderId="15" xfId="1" applyNumberFormat="1" applyFont="1" applyFill="1" applyBorder="1" applyAlignment="1">
      <alignment horizontal="center" vertical="center"/>
    </xf>
    <xf numFmtId="43" fontId="8" fillId="2" borderId="16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wrapText="1"/>
    </xf>
    <xf numFmtId="0" fontId="18" fillId="2" borderId="7" xfId="0" applyFont="1" applyFill="1" applyBorder="1" applyAlignment="1">
      <alignment vertical="center"/>
    </xf>
    <xf numFmtId="0" fontId="18" fillId="2" borderId="7" xfId="0" applyFont="1" applyFill="1" applyBorder="1" applyAlignment="1">
      <alignment horizontal="center" vertical="center" wrapText="1"/>
    </xf>
    <xf numFmtId="14" fontId="18" fillId="2" borderId="7" xfId="0" applyNumberFormat="1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164" fontId="19" fillId="2" borderId="7" xfId="1" applyFont="1" applyFill="1" applyBorder="1" applyAlignment="1">
      <alignment horizontal="center" vertical="center"/>
    </xf>
    <xf numFmtId="164" fontId="18" fillId="2" borderId="7" xfId="1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1"/>
  <sheetViews>
    <sheetView tabSelected="1" zoomScale="85" zoomScaleNormal="85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G8" sqref="G8"/>
    </sheetView>
  </sheetViews>
  <sheetFormatPr defaultColWidth="9" defaultRowHeight="21" x14ac:dyDescent="0.25"/>
  <cols>
    <col min="1" max="1" width="8.42578125" style="62" bestFit="1" customWidth="1"/>
    <col min="2" max="2" width="34.85546875" style="51" customWidth="1"/>
    <col min="3" max="3" width="13.42578125" style="73" bestFit="1" customWidth="1"/>
    <col min="4" max="4" width="14.85546875" style="1" customWidth="1"/>
    <col min="5" max="5" width="15.28515625" style="1" bestFit="1" customWidth="1"/>
    <col min="6" max="6" width="15.140625" style="1" customWidth="1"/>
    <col min="7" max="7" width="16.85546875" style="1" bestFit="1" customWidth="1"/>
    <col min="8" max="8" width="14.140625" style="6" bestFit="1" customWidth="1"/>
    <col min="9" max="9" width="18.42578125" style="6" bestFit="1" customWidth="1"/>
    <col min="10" max="10" width="14.42578125" style="1" bestFit="1" customWidth="1"/>
    <col min="11" max="11" width="16.28515625" style="1" customWidth="1"/>
    <col min="12" max="12" width="21.140625" style="1" customWidth="1"/>
    <col min="13" max="13" width="15" style="1" bestFit="1" customWidth="1"/>
    <col min="14" max="14" width="15.5703125" style="1" customWidth="1"/>
    <col min="15" max="15" width="15.7109375" style="1" bestFit="1" customWidth="1"/>
    <col min="16" max="16" width="18.140625" style="1" customWidth="1"/>
    <col min="17" max="17" width="9.7109375" style="1" customWidth="1"/>
    <col min="18" max="18" width="16.42578125" style="1" customWidth="1"/>
    <col min="19" max="19" width="15.28515625" style="1" customWidth="1"/>
    <col min="20" max="20" width="14" style="1" bestFit="1" customWidth="1"/>
    <col min="21" max="21" width="20" style="1" bestFit="1" customWidth="1"/>
    <col min="22" max="22" width="110.28515625" style="1" bestFit="1" customWidth="1"/>
    <col min="23" max="23" width="14.28515625" style="2" bestFit="1" customWidth="1"/>
    <col min="24" max="16384" width="9" style="2"/>
  </cols>
  <sheetData>
    <row r="1" spans="1:22" ht="15.75" x14ac:dyDescent="0.25">
      <c r="A1" s="99" t="s">
        <v>158</v>
      </c>
      <c r="B1" s="100" t="s">
        <v>164</v>
      </c>
      <c r="C1"/>
      <c r="E1" s="2"/>
      <c r="F1" s="2"/>
      <c r="G1" s="2"/>
      <c r="H1" s="3"/>
      <c r="I1" s="3"/>
    </row>
    <row r="2" spans="1:22" ht="15.75" x14ac:dyDescent="0.25">
      <c r="A2" s="99" t="s">
        <v>159</v>
      </c>
      <c r="B2" t="s">
        <v>160</v>
      </c>
      <c r="E2" s="2"/>
      <c r="F2" s="2"/>
      <c r="G2" s="2"/>
      <c r="H2" s="3"/>
      <c r="I2" s="3"/>
    </row>
    <row r="3" spans="1:22" ht="15.75" x14ac:dyDescent="0.25">
      <c r="A3" s="99" t="s">
        <v>161</v>
      </c>
      <c r="B3" t="s">
        <v>162</v>
      </c>
      <c r="D3" s="4"/>
      <c r="G3" s="5"/>
      <c r="I3" s="5"/>
    </row>
    <row r="4" spans="1:22" ht="16.5" thickBot="1" x14ac:dyDescent="0.3">
      <c r="A4" s="99" t="s">
        <v>163</v>
      </c>
      <c r="B4" t="s">
        <v>162</v>
      </c>
      <c r="D4" s="4"/>
      <c r="G4" s="5"/>
      <c r="H4" s="3"/>
      <c r="I4" s="5"/>
    </row>
    <row r="5" spans="1:22" ht="42" x14ac:dyDescent="0.25">
      <c r="A5" s="101" t="s">
        <v>165</v>
      </c>
      <c r="B5" s="102" t="s">
        <v>166</v>
      </c>
      <c r="C5" s="103" t="s">
        <v>167</v>
      </c>
      <c r="D5" s="104" t="s">
        <v>168</v>
      </c>
      <c r="E5" s="102" t="s">
        <v>169</v>
      </c>
      <c r="F5" s="102" t="s">
        <v>170</v>
      </c>
      <c r="G5" s="104" t="s">
        <v>171</v>
      </c>
      <c r="H5" s="105" t="s">
        <v>172</v>
      </c>
      <c r="I5" s="106" t="s">
        <v>0</v>
      </c>
      <c r="J5" s="52" t="s">
        <v>4</v>
      </c>
      <c r="K5" s="52" t="s">
        <v>3</v>
      </c>
      <c r="L5" s="52" t="s">
        <v>5</v>
      </c>
      <c r="M5" s="52" t="s">
        <v>6</v>
      </c>
      <c r="N5" s="107" t="s">
        <v>173</v>
      </c>
      <c r="O5" s="102" t="s">
        <v>174</v>
      </c>
      <c r="P5" s="102" t="s">
        <v>175</v>
      </c>
      <c r="Q5" s="22"/>
      <c r="R5" s="22" t="s">
        <v>1</v>
      </c>
      <c r="S5" s="102" t="s">
        <v>176</v>
      </c>
      <c r="T5" s="102" t="s">
        <v>177</v>
      </c>
      <c r="U5" s="102" t="s">
        <v>178</v>
      </c>
      <c r="V5" s="22" t="s">
        <v>2</v>
      </c>
    </row>
    <row r="6" spans="1:22" ht="21.75" thickBot="1" x14ac:dyDescent="0.3">
      <c r="A6" s="63"/>
      <c r="B6" s="53" t="s">
        <v>152</v>
      </c>
      <c r="C6" s="74"/>
      <c r="D6" s="9"/>
      <c r="E6" s="9"/>
      <c r="F6" s="9"/>
      <c r="G6" s="9"/>
      <c r="H6" s="40">
        <v>0.18</v>
      </c>
      <c r="I6" s="9"/>
      <c r="J6" s="40">
        <v>0.01</v>
      </c>
      <c r="K6" s="40">
        <v>0.05</v>
      </c>
      <c r="L6" s="40">
        <v>0.05</v>
      </c>
      <c r="M6" s="40">
        <v>0.1</v>
      </c>
      <c r="N6" s="40"/>
      <c r="O6" s="40">
        <v>0.18</v>
      </c>
      <c r="P6" s="9"/>
      <c r="Q6" s="19"/>
      <c r="R6" s="9"/>
      <c r="S6" s="9"/>
      <c r="T6" s="40">
        <v>0.01</v>
      </c>
      <c r="U6" s="9"/>
      <c r="V6" s="9"/>
    </row>
    <row r="7" spans="1:22" x14ac:dyDescent="0.25">
      <c r="A7" s="64"/>
      <c r="B7" s="54" t="s">
        <v>152</v>
      </c>
      <c r="C7" s="75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39">
        <f>A8</f>
        <v>52359</v>
      </c>
      <c r="R7" s="12"/>
      <c r="S7" s="12"/>
      <c r="T7" s="12"/>
      <c r="U7" s="12"/>
      <c r="V7" s="38"/>
    </row>
    <row r="8" spans="1:22" ht="42" x14ac:dyDescent="0.25">
      <c r="A8" s="65">
        <v>52359</v>
      </c>
      <c r="B8" s="55" t="s">
        <v>180</v>
      </c>
      <c r="C8" s="76">
        <v>44842</v>
      </c>
      <c r="D8" s="7">
        <v>1</v>
      </c>
      <c r="E8" s="7">
        <v>331716</v>
      </c>
      <c r="F8" s="7">
        <v>0</v>
      </c>
      <c r="G8" s="7">
        <v>331716</v>
      </c>
      <c r="H8" s="7">
        <v>59709</v>
      </c>
      <c r="I8" s="7">
        <v>391425</v>
      </c>
      <c r="J8" s="7">
        <f>G8*2%</f>
        <v>6634.32</v>
      </c>
      <c r="K8" s="7">
        <f>G8*5%</f>
        <v>16585.8</v>
      </c>
      <c r="L8" s="7">
        <f>G8*5%</f>
        <v>16585.8</v>
      </c>
      <c r="M8" s="7">
        <f>G8*10%</f>
        <v>33171.599999999999</v>
      </c>
      <c r="N8" s="7">
        <v>21653</v>
      </c>
      <c r="O8" s="41">
        <f>H8</f>
        <v>59709</v>
      </c>
      <c r="P8" s="7">
        <f>G8-J8-K8-L8-M8-N8</f>
        <v>237085.48</v>
      </c>
      <c r="Q8" s="14"/>
      <c r="R8" s="7" t="s">
        <v>34</v>
      </c>
      <c r="S8" s="7">
        <v>237085</v>
      </c>
      <c r="T8" s="7">
        <v>0</v>
      </c>
      <c r="U8" s="7">
        <v>237085</v>
      </c>
      <c r="V8" s="24" t="s">
        <v>35</v>
      </c>
    </row>
    <row r="9" spans="1:22" ht="42" x14ac:dyDescent="0.25">
      <c r="A9" s="65">
        <v>52359</v>
      </c>
      <c r="B9" s="55" t="s">
        <v>180</v>
      </c>
      <c r="C9" s="76">
        <v>44886</v>
      </c>
      <c r="D9" s="7">
        <v>2</v>
      </c>
      <c r="E9" s="7">
        <v>670724.5</v>
      </c>
      <c r="F9" s="7">
        <v>0</v>
      </c>
      <c r="G9" s="7">
        <v>670724.5</v>
      </c>
      <c r="H9" s="7">
        <v>120730</v>
      </c>
      <c r="I9" s="7">
        <v>791455</v>
      </c>
      <c r="J9" s="7">
        <f>G9*2%</f>
        <v>13414.49</v>
      </c>
      <c r="K9" s="7">
        <f>G9*5%</f>
        <v>33536.224999999999</v>
      </c>
      <c r="L9" s="7">
        <f>G9*10%</f>
        <v>67072.45</v>
      </c>
      <c r="M9" s="7">
        <f>G9*10%</f>
        <v>67072.45</v>
      </c>
      <c r="N9" s="7">
        <v>402620</v>
      </c>
      <c r="O9" s="41">
        <f>H9</f>
        <v>120730</v>
      </c>
      <c r="P9" s="7">
        <f>G9-J9-K9-L9-M9-N9</f>
        <v>87008.885000000068</v>
      </c>
      <c r="Q9" s="14"/>
      <c r="R9" s="7" t="s">
        <v>36</v>
      </c>
      <c r="S9" s="7">
        <v>87008</v>
      </c>
      <c r="T9" s="7">
        <v>0</v>
      </c>
      <c r="U9" s="7">
        <v>87008</v>
      </c>
      <c r="V9" s="24" t="s">
        <v>37</v>
      </c>
    </row>
    <row r="10" spans="1:22" x14ac:dyDescent="0.25">
      <c r="A10" s="65">
        <v>52359</v>
      </c>
      <c r="B10" s="55" t="s">
        <v>179</v>
      </c>
      <c r="C10" s="76"/>
      <c r="D10" s="7">
        <v>1</v>
      </c>
      <c r="E10" s="7">
        <v>59709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41">
        <f>E10</f>
        <v>59709</v>
      </c>
      <c r="Q10" s="14"/>
      <c r="R10" s="7" t="s">
        <v>38</v>
      </c>
      <c r="S10" s="7">
        <v>59709</v>
      </c>
      <c r="T10" s="7">
        <v>0</v>
      </c>
      <c r="U10" s="7">
        <v>59709</v>
      </c>
      <c r="V10" s="24" t="s">
        <v>39</v>
      </c>
    </row>
    <row r="11" spans="1:22" x14ac:dyDescent="0.25">
      <c r="A11" s="65">
        <v>52359</v>
      </c>
      <c r="B11" s="55" t="s">
        <v>179</v>
      </c>
      <c r="C11" s="76"/>
      <c r="D11" s="7">
        <v>2</v>
      </c>
      <c r="E11" s="7">
        <v>120730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41">
        <f>E11</f>
        <v>120730</v>
      </c>
      <c r="Q11" s="14"/>
      <c r="R11" s="7" t="s">
        <v>40</v>
      </c>
      <c r="S11" s="7">
        <v>200000</v>
      </c>
      <c r="T11" s="7">
        <v>0</v>
      </c>
      <c r="U11" s="7">
        <v>200000</v>
      </c>
      <c r="V11" s="24" t="s">
        <v>41</v>
      </c>
    </row>
    <row r="12" spans="1:22" x14ac:dyDescent="0.25">
      <c r="A12" s="65">
        <v>52359</v>
      </c>
      <c r="B12" s="55" t="s">
        <v>154</v>
      </c>
      <c r="C12" s="76"/>
      <c r="D12" s="7">
        <v>1</v>
      </c>
      <c r="E12" s="7">
        <v>200000</v>
      </c>
      <c r="F12" s="7"/>
      <c r="G12" s="7">
        <v>200000</v>
      </c>
      <c r="H12" s="7">
        <v>0</v>
      </c>
      <c r="I12" s="7">
        <v>200000</v>
      </c>
      <c r="J12" s="7">
        <v>0</v>
      </c>
      <c r="K12" s="7">
        <v>0</v>
      </c>
      <c r="L12" s="7"/>
      <c r="M12" s="7"/>
      <c r="N12" s="7">
        <v>0</v>
      </c>
      <c r="O12" s="7"/>
      <c r="P12" s="7">
        <v>200000</v>
      </c>
      <c r="Q12" s="14"/>
      <c r="R12" s="7" t="s">
        <v>42</v>
      </c>
      <c r="S12" s="7">
        <v>100000</v>
      </c>
      <c r="T12" s="7">
        <f>S12*2%</f>
        <v>2000</v>
      </c>
      <c r="U12" s="7">
        <v>98000</v>
      </c>
      <c r="V12" s="24" t="s">
        <v>43</v>
      </c>
    </row>
    <row r="13" spans="1:22" x14ac:dyDescent="0.25">
      <c r="A13" s="65">
        <v>52359</v>
      </c>
      <c r="B13" s="55"/>
      <c r="C13" s="76">
        <v>45166</v>
      </c>
      <c r="D13" s="7">
        <v>7</v>
      </c>
      <c r="E13" s="7">
        <v>754140</v>
      </c>
      <c r="F13" s="7">
        <v>73875</v>
      </c>
      <c r="G13" s="7">
        <f>E13-F13</f>
        <v>680265</v>
      </c>
      <c r="H13" s="7">
        <f>G13*18%</f>
        <v>122447.7</v>
      </c>
      <c r="I13" s="7">
        <f>G13+H13</f>
        <v>802712.7</v>
      </c>
      <c r="J13" s="7">
        <f>G13*2%</f>
        <v>13605.300000000001</v>
      </c>
      <c r="K13" s="7">
        <f>5%*G13</f>
        <v>34013.25</v>
      </c>
      <c r="L13" s="7">
        <v>0</v>
      </c>
      <c r="M13" s="7">
        <v>0</v>
      </c>
      <c r="N13" s="7">
        <v>0</v>
      </c>
      <c r="O13" s="41">
        <f>H13</f>
        <v>122447.7</v>
      </c>
      <c r="P13" s="7">
        <f>G13-J13-K13-L13-M13</f>
        <v>632646.44999999995</v>
      </c>
      <c r="Q13" s="14"/>
      <c r="R13" s="7" t="s">
        <v>83</v>
      </c>
      <c r="S13" s="7">
        <v>22731</v>
      </c>
      <c r="T13" s="7"/>
      <c r="U13" s="7">
        <v>22731</v>
      </c>
      <c r="V13" s="24" t="s">
        <v>44</v>
      </c>
    </row>
    <row r="14" spans="1:22" x14ac:dyDescent="0.25">
      <c r="A14" s="65">
        <v>52359</v>
      </c>
      <c r="B14" s="55" t="s">
        <v>153</v>
      </c>
      <c r="C14" s="76">
        <v>45190</v>
      </c>
      <c r="D14" s="7">
        <v>7</v>
      </c>
      <c r="E14" s="7">
        <v>122448</v>
      </c>
      <c r="F14" s="7"/>
      <c r="G14" s="7">
        <f t="shared" ref="G14" si="0">E14-F14</f>
        <v>122448</v>
      </c>
      <c r="H14" s="7">
        <v>0</v>
      </c>
      <c r="I14" s="7">
        <f>G14+H14</f>
        <v>122448</v>
      </c>
      <c r="J14" s="7">
        <v>0</v>
      </c>
      <c r="K14" s="7">
        <v>0</v>
      </c>
      <c r="L14" s="7"/>
      <c r="M14" s="7"/>
      <c r="N14" s="7">
        <v>0</v>
      </c>
      <c r="O14" s="7"/>
      <c r="P14" s="41">
        <f>I14-SUM(J14:O14)</f>
        <v>122448</v>
      </c>
      <c r="Q14" s="14"/>
      <c r="R14" s="7" t="s">
        <v>84</v>
      </c>
      <c r="S14" s="7">
        <v>100000</v>
      </c>
      <c r="T14" s="7">
        <f>S14*2%</f>
        <v>2000</v>
      </c>
      <c r="U14" s="7">
        <v>98000</v>
      </c>
      <c r="V14" s="24" t="s">
        <v>80</v>
      </c>
    </row>
    <row r="15" spans="1:22" x14ac:dyDescent="0.25">
      <c r="A15" s="65"/>
      <c r="B15" s="55" t="s">
        <v>152</v>
      </c>
      <c r="C15" s="76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14"/>
      <c r="R15" s="7" t="s">
        <v>85</v>
      </c>
      <c r="S15" s="7">
        <v>150000</v>
      </c>
      <c r="T15" s="7">
        <f>S15*1%</f>
        <v>1500</v>
      </c>
      <c r="U15" s="7">
        <v>148500</v>
      </c>
      <c r="V15" s="24" t="s">
        <v>81</v>
      </c>
    </row>
    <row r="16" spans="1:22" x14ac:dyDescent="0.25">
      <c r="A16" s="65"/>
      <c r="B16" s="56" t="s">
        <v>152</v>
      </c>
      <c r="C16" s="77"/>
      <c r="D16" s="15"/>
      <c r="E16" s="15"/>
      <c r="F16" s="15"/>
      <c r="G16" s="15"/>
      <c r="H16" s="7"/>
      <c r="I16" s="7"/>
      <c r="J16" s="15"/>
      <c r="K16" s="15"/>
      <c r="L16" s="15"/>
      <c r="M16" s="15"/>
      <c r="N16" s="15"/>
      <c r="O16" s="15"/>
      <c r="P16" s="15"/>
      <c r="Q16" s="14"/>
      <c r="R16" s="7" t="s">
        <v>86</v>
      </c>
      <c r="S16" s="7">
        <v>386147</v>
      </c>
      <c r="T16" s="7"/>
      <c r="U16" s="7">
        <v>386147</v>
      </c>
      <c r="V16" s="24" t="s">
        <v>82</v>
      </c>
    </row>
    <row r="17" spans="1:22" x14ac:dyDescent="0.25">
      <c r="A17" s="65"/>
      <c r="B17" s="56" t="s">
        <v>152</v>
      </c>
      <c r="C17" s="77"/>
      <c r="D17" s="15"/>
      <c r="E17" s="15"/>
      <c r="F17" s="15"/>
      <c r="G17" s="15"/>
      <c r="H17" s="7"/>
      <c r="I17" s="7"/>
      <c r="J17" s="15"/>
      <c r="K17" s="15"/>
      <c r="L17" s="15"/>
      <c r="M17" s="15"/>
      <c r="N17" s="15"/>
      <c r="O17" s="15"/>
      <c r="P17" s="15"/>
      <c r="Q17" s="14"/>
      <c r="R17" s="7" t="s">
        <v>101</v>
      </c>
      <c r="S17" s="7">
        <v>122448</v>
      </c>
      <c r="T17" s="7"/>
      <c r="U17" s="7">
        <v>122448</v>
      </c>
      <c r="V17" s="24" t="s">
        <v>116</v>
      </c>
    </row>
    <row r="18" spans="1:22" x14ac:dyDescent="0.25">
      <c r="A18" s="65"/>
      <c r="B18" s="56" t="s">
        <v>152</v>
      </c>
      <c r="C18" s="77"/>
      <c r="D18" s="15"/>
      <c r="E18" s="15"/>
      <c r="F18" s="15"/>
      <c r="G18" s="15"/>
      <c r="H18" s="7"/>
      <c r="I18" s="7"/>
      <c r="J18" s="15"/>
      <c r="K18" s="15"/>
      <c r="L18" s="15"/>
      <c r="M18" s="15"/>
      <c r="N18" s="15"/>
      <c r="O18" s="15"/>
      <c r="P18" s="15"/>
      <c r="Q18" s="14"/>
      <c r="R18" s="7" t="s">
        <v>144</v>
      </c>
      <c r="S18" s="7">
        <v>100000</v>
      </c>
      <c r="T18" s="7">
        <f>S18*2%</f>
        <v>2000</v>
      </c>
      <c r="U18" s="7">
        <v>98000</v>
      </c>
      <c r="V18" s="24" t="s">
        <v>143</v>
      </c>
    </row>
    <row r="19" spans="1:22" x14ac:dyDescent="0.25">
      <c r="A19" s="66"/>
      <c r="B19" s="57" t="s">
        <v>152</v>
      </c>
      <c r="C19" s="78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1">
        <f>A20</f>
        <v>52833</v>
      </c>
      <c r="R19" s="13"/>
      <c r="S19" s="13"/>
      <c r="T19" s="13"/>
      <c r="U19" s="13"/>
      <c r="V19" s="23"/>
    </row>
    <row r="20" spans="1:22" ht="42" x14ac:dyDescent="0.25">
      <c r="A20" s="65">
        <v>52833</v>
      </c>
      <c r="B20" s="55" t="s">
        <v>180</v>
      </c>
      <c r="C20" s="76">
        <v>44963</v>
      </c>
      <c r="D20" s="7">
        <v>15</v>
      </c>
      <c r="E20" s="7">
        <v>1122983.55</v>
      </c>
      <c r="F20" s="7">
        <v>71928</v>
      </c>
      <c r="G20" s="7">
        <v>1051056</v>
      </c>
      <c r="H20" s="7">
        <v>189190</v>
      </c>
      <c r="I20" s="7">
        <v>1240246</v>
      </c>
      <c r="J20" s="7">
        <v>21021</v>
      </c>
      <c r="K20" s="7">
        <v>52553</v>
      </c>
      <c r="L20" s="7">
        <v>105106</v>
      </c>
      <c r="M20" s="7">
        <v>105106</v>
      </c>
      <c r="N20" s="7">
        <v>0</v>
      </c>
      <c r="O20" s="41">
        <v>189190</v>
      </c>
      <c r="P20" s="7">
        <v>767270</v>
      </c>
      <c r="Q20" s="14"/>
      <c r="R20" s="7" t="s">
        <v>28</v>
      </c>
      <c r="S20" s="7">
        <v>300000</v>
      </c>
      <c r="T20" s="7">
        <f>S20*2%</f>
        <v>6000</v>
      </c>
      <c r="U20" s="7">
        <v>294000</v>
      </c>
      <c r="V20" s="24" t="s">
        <v>29</v>
      </c>
    </row>
    <row r="21" spans="1:22" x14ac:dyDescent="0.25">
      <c r="A21" s="65">
        <v>52833</v>
      </c>
      <c r="B21" s="55" t="s">
        <v>179</v>
      </c>
      <c r="C21" s="76">
        <v>45044</v>
      </c>
      <c r="D21" s="7">
        <v>15</v>
      </c>
      <c r="E21" s="7">
        <v>189190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41">
        <v>189190</v>
      </c>
      <c r="Q21" s="14"/>
      <c r="R21" s="7" t="s">
        <v>30</v>
      </c>
      <c r="S21" s="7">
        <v>441000</v>
      </c>
      <c r="T21" s="7">
        <v>0</v>
      </c>
      <c r="U21" s="7">
        <v>441000</v>
      </c>
      <c r="V21" s="24" t="s">
        <v>31</v>
      </c>
    </row>
    <row r="22" spans="1:22" x14ac:dyDescent="0.25">
      <c r="A22" s="65">
        <v>52833</v>
      </c>
      <c r="B22" s="55"/>
      <c r="C22" s="76">
        <v>45278</v>
      </c>
      <c r="D22" s="7">
        <v>12</v>
      </c>
      <c r="E22" s="7">
        <v>281634</v>
      </c>
      <c r="F22" s="7">
        <v>71928</v>
      </c>
      <c r="G22" s="7">
        <f>E22-F22</f>
        <v>209706</v>
      </c>
      <c r="H22" s="7">
        <f>G22*18%</f>
        <v>37747.08</v>
      </c>
      <c r="I22" s="7">
        <f>G22+H22</f>
        <v>247453.08000000002</v>
      </c>
      <c r="J22" s="7">
        <f>G22*1%</f>
        <v>2097.06</v>
      </c>
      <c r="K22" s="7">
        <f>G22*5%</f>
        <v>10485.300000000001</v>
      </c>
      <c r="L22" s="7">
        <f>G22*10%</f>
        <v>20970.600000000002</v>
      </c>
      <c r="M22" s="7">
        <f>G22*10%</f>
        <v>20970.600000000002</v>
      </c>
      <c r="N22" s="7">
        <v>0</v>
      </c>
      <c r="O22" s="41">
        <f>H22</f>
        <v>37747.08</v>
      </c>
      <c r="P22" s="7">
        <f>G22-J22-K22-L22-M22-N22</f>
        <v>155182.44</v>
      </c>
      <c r="Q22" s="14"/>
      <c r="R22" s="7" t="s">
        <v>78</v>
      </c>
      <c r="S22" s="7">
        <v>32270</v>
      </c>
      <c r="T22" s="7">
        <v>0</v>
      </c>
      <c r="U22" s="7">
        <v>32270</v>
      </c>
      <c r="V22" s="24" t="s">
        <v>32</v>
      </c>
    </row>
    <row r="23" spans="1:22" x14ac:dyDescent="0.25">
      <c r="A23" s="65">
        <v>52833</v>
      </c>
      <c r="B23" s="55" t="s">
        <v>179</v>
      </c>
      <c r="C23" s="76"/>
      <c r="D23" s="7">
        <v>12</v>
      </c>
      <c r="E23" s="7">
        <f>O22</f>
        <v>37747.08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41">
        <f>E23</f>
        <v>37747.08</v>
      </c>
      <c r="Q23" s="14"/>
      <c r="R23" s="7" t="s">
        <v>79</v>
      </c>
      <c r="S23" s="7">
        <v>189190</v>
      </c>
      <c r="T23" s="7">
        <v>0</v>
      </c>
      <c r="U23" s="7">
        <v>189190</v>
      </c>
      <c r="V23" s="24" t="s">
        <v>33</v>
      </c>
    </row>
    <row r="24" spans="1:22" x14ac:dyDescent="0.25">
      <c r="A24" s="65"/>
      <c r="B24" s="55" t="s">
        <v>152</v>
      </c>
      <c r="C24" s="76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14"/>
      <c r="R24" s="7" t="s">
        <v>79</v>
      </c>
      <c r="S24" s="7">
        <v>153085</v>
      </c>
      <c r="T24" s="7">
        <v>0</v>
      </c>
      <c r="U24" s="7">
        <v>153085</v>
      </c>
      <c r="V24" s="24" t="s">
        <v>100</v>
      </c>
    </row>
    <row r="25" spans="1:22" x14ac:dyDescent="0.25">
      <c r="A25" s="65"/>
      <c r="B25" s="55" t="s">
        <v>152</v>
      </c>
      <c r="C25" s="7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14"/>
      <c r="R25" s="7"/>
      <c r="S25" s="7"/>
      <c r="T25" s="7"/>
      <c r="U25" s="7">
        <v>37747</v>
      </c>
      <c r="V25" s="24" t="s">
        <v>122</v>
      </c>
    </row>
    <row r="26" spans="1:22" x14ac:dyDescent="0.25">
      <c r="A26" s="66"/>
      <c r="B26" s="57" t="s">
        <v>152</v>
      </c>
      <c r="C26" s="78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21">
        <f>A27</f>
        <v>53206</v>
      </c>
      <c r="R26" s="13"/>
      <c r="S26" s="13"/>
      <c r="T26" s="13"/>
      <c r="U26" s="13"/>
      <c r="V26" s="23"/>
    </row>
    <row r="27" spans="1:22" ht="42" x14ac:dyDescent="0.25">
      <c r="A27" s="65">
        <v>53206</v>
      </c>
      <c r="B27" s="55" t="s">
        <v>181</v>
      </c>
      <c r="C27" s="76">
        <v>44925</v>
      </c>
      <c r="D27" s="7">
        <v>3</v>
      </c>
      <c r="E27" s="7">
        <v>729582</v>
      </c>
      <c r="F27" s="7">
        <v>71928</v>
      </c>
      <c r="G27" s="7">
        <v>657654</v>
      </c>
      <c r="H27" s="7">
        <v>118378</v>
      </c>
      <c r="I27" s="7">
        <v>776032</v>
      </c>
      <c r="J27" s="7">
        <v>13153.08</v>
      </c>
      <c r="K27" s="7">
        <v>32882.700000000004</v>
      </c>
      <c r="L27" s="7">
        <v>65765.400000000009</v>
      </c>
      <c r="M27" s="7">
        <v>65765.400000000009</v>
      </c>
      <c r="N27" s="7">
        <v>84072</v>
      </c>
      <c r="O27" s="41">
        <f>H27</f>
        <v>118378</v>
      </c>
      <c r="P27" s="7">
        <v>396015</v>
      </c>
      <c r="Q27" s="14"/>
      <c r="R27" s="7" t="s">
        <v>25</v>
      </c>
      <c r="S27" s="7">
        <v>396016</v>
      </c>
      <c r="T27" s="7">
        <v>0</v>
      </c>
      <c r="U27" s="7">
        <v>396016</v>
      </c>
      <c r="V27" s="24" t="s">
        <v>26</v>
      </c>
    </row>
    <row r="28" spans="1:22" x14ac:dyDescent="0.25">
      <c r="A28" s="65">
        <v>53206</v>
      </c>
      <c r="B28" s="55" t="s">
        <v>179</v>
      </c>
      <c r="C28" s="76">
        <v>44943</v>
      </c>
      <c r="D28" s="7">
        <v>3</v>
      </c>
      <c r="E28" s="7">
        <v>118378</v>
      </c>
      <c r="F28" s="7">
        <v>0</v>
      </c>
      <c r="G28" s="7">
        <v>118378</v>
      </c>
      <c r="H28" s="7">
        <v>0</v>
      </c>
      <c r="I28" s="7">
        <v>118378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41">
        <v>118378</v>
      </c>
      <c r="Q28" s="14"/>
      <c r="R28" s="7" t="s">
        <v>77</v>
      </c>
      <c r="S28" s="7">
        <v>118378</v>
      </c>
      <c r="T28" s="7">
        <v>0</v>
      </c>
      <c r="U28" s="7">
        <v>118378</v>
      </c>
      <c r="V28" s="24" t="s">
        <v>27</v>
      </c>
    </row>
    <row r="29" spans="1:22" x14ac:dyDescent="0.25">
      <c r="A29" s="65"/>
      <c r="B29" s="55" t="s">
        <v>152</v>
      </c>
      <c r="C29" s="76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14"/>
      <c r="R29" s="7"/>
      <c r="S29" s="7"/>
      <c r="T29" s="7"/>
      <c r="U29" s="7"/>
      <c r="V29" s="24"/>
    </row>
    <row r="30" spans="1:22" x14ac:dyDescent="0.25">
      <c r="A30" s="65"/>
      <c r="B30" s="55" t="s">
        <v>152</v>
      </c>
      <c r="C30" s="76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14"/>
      <c r="R30" s="7"/>
      <c r="S30" s="7"/>
      <c r="T30" s="7"/>
      <c r="U30" s="7"/>
      <c r="V30" s="24"/>
    </row>
    <row r="31" spans="1:22" x14ac:dyDescent="0.25">
      <c r="A31" s="66"/>
      <c r="B31" s="57" t="s">
        <v>152</v>
      </c>
      <c r="C31" s="78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45">
        <f>A32</f>
        <v>54599</v>
      </c>
      <c r="R31" s="13"/>
      <c r="S31" s="13"/>
      <c r="T31" s="13"/>
      <c r="U31" s="13"/>
      <c r="V31" s="23"/>
    </row>
    <row r="32" spans="1:22" ht="42" x14ac:dyDescent="0.25">
      <c r="A32" s="65">
        <v>54599</v>
      </c>
      <c r="B32" s="55" t="s">
        <v>182</v>
      </c>
      <c r="C32" s="76">
        <v>45033</v>
      </c>
      <c r="D32" s="7">
        <v>3</v>
      </c>
      <c r="E32" s="7">
        <v>773412</v>
      </c>
      <c r="F32" s="7">
        <v>121379</v>
      </c>
      <c r="G32" s="7">
        <v>652033</v>
      </c>
      <c r="H32" s="7">
        <v>117366</v>
      </c>
      <c r="I32" s="7">
        <v>769399</v>
      </c>
      <c r="J32" s="7">
        <v>6520</v>
      </c>
      <c r="K32" s="7">
        <v>32602</v>
      </c>
      <c r="L32" s="7">
        <v>65203</v>
      </c>
      <c r="M32" s="7">
        <v>65203</v>
      </c>
      <c r="N32" s="7">
        <v>329417</v>
      </c>
      <c r="O32" s="41">
        <v>117366</v>
      </c>
      <c r="P32" s="7">
        <v>153088</v>
      </c>
      <c r="Q32" s="14"/>
      <c r="R32" s="17" t="s">
        <v>74</v>
      </c>
      <c r="S32" s="7">
        <v>250000</v>
      </c>
      <c r="T32" s="7">
        <f>S32*2%</f>
        <v>5000</v>
      </c>
      <c r="U32" s="7">
        <v>245000</v>
      </c>
      <c r="V32" s="24" t="s">
        <v>22</v>
      </c>
    </row>
    <row r="33" spans="1:22" x14ac:dyDescent="0.25">
      <c r="A33" s="65">
        <v>54599</v>
      </c>
      <c r="B33" s="55" t="s">
        <v>179</v>
      </c>
      <c r="C33" s="76">
        <v>45069</v>
      </c>
      <c r="D33" s="7">
        <v>3</v>
      </c>
      <c r="E33" s="7">
        <v>117366</v>
      </c>
      <c r="F33" s="7"/>
      <c r="G33" s="7"/>
      <c r="H33" s="7"/>
      <c r="I33" s="7"/>
      <c r="J33" s="7"/>
      <c r="K33" s="7"/>
      <c r="L33" s="7"/>
      <c r="M33" s="7"/>
      <c r="N33" s="7"/>
      <c r="O33" s="7"/>
      <c r="P33" s="41">
        <v>117366</v>
      </c>
      <c r="Q33" s="14"/>
      <c r="R33" s="17" t="s">
        <v>75</v>
      </c>
      <c r="S33" s="7">
        <v>100000</v>
      </c>
      <c r="T33" s="7">
        <f>S33*2%</f>
        <v>2000</v>
      </c>
      <c r="U33" s="7">
        <v>98000</v>
      </c>
      <c r="V33" s="24" t="s">
        <v>23</v>
      </c>
    </row>
    <row r="34" spans="1:22" x14ac:dyDescent="0.25">
      <c r="A34" s="65">
        <v>54599</v>
      </c>
      <c r="B34" s="55"/>
      <c r="C34" s="76">
        <v>45238</v>
      </c>
      <c r="D34" s="7">
        <v>11</v>
      </c>
      <c r="E34" s="7">
        <v>299962</v>
      </c>
      <c r="F34" s="7">
        <v>0</v>
      </c>
      <c r="G34" s="7">
        <f>E34-F34</f>
        <v>299962</v>
      </c>
      <c r="H34" s="7">
        <f>G34*18%</f>
        <v>53993.159999999996</v>
      </c>
      <c r="I34" s="7">
        <f>G34+H34</f>
        <v>353955.16</v>
      </c>
      <c r="J34" s="7">
        <f>G34*1%</f>
        <v>2999.62</v>
      </c>
      <c r="K34" s="7">
        <f>G34*5%</f>
        <v>14998.1</v>
      </c>
      <c r="L34" s="7">
        <f>G34*10%</f>
        <v>29996.2</v>
      </c>
      <c r="M34" s="7">
        <f>G34*10%</f>
        <v>29996.2</v>
      </c>
      <c r="N34" s="7">
        <v>159407</v>
      </c>
      <c r="O34" s="41">
        <f>H34</f>
        <v>53993.159999999996</v>
      </c>
      <c r="P34" s="7">
        <f>G34-J34-K34-L34-M34-N34</f>
        <v>62564.880000000005</v>
      </c>
      <c r="Q34" s="14"/>
      <c r="R34" s="17" t="s">
        <v>76</v>
      </c>
      <c r="S34" s="7">
        <v>117366</v>
      </c>
      <c r="T34" s="7"/>
      <c r="U34" s="7">
        <v>117366</v>
      </c>
      <c r="V34" s="24" t="s">
        <v>24</v>
      </c>
    </row>
    <row r="35" spans="1:22" x14ac:dyDescent="0.25">
      <c r="A35" s="65">
        <v>54599</v>
      </c>
      <c r="B35" s="55" t="s">
        <v>179</v>
      </c>
      <c r="C35" s="76"/>
      <c r="D35" s="7">
        <v>11</v>
      </c>
      <c r="E35" s="7">
        <f>H34</f>
        <v>53993.159999999996</v>
      </c>
      <c r="F35" s="7"/>
      <c r="G35" s="7"/>
      <c r="H35" s="7"/>
      <c r="I35" s="7"/>
      <c r="J35" s="7"/>
      <c r="K35" s="7"/>
      <c r="L35" s="7"/>
      <c r="M35" s="7"/>
      <c r="N35" s="7"/>
      <c r="O35" s="7"/>
      <c r="P35" s="41">
        <f>E35</f>
        <v>53993.159999999996</v>
      </c>
      <c r="Q35" s="14"/>
      <c r="R35" s="7"/>
      <c r="S35" s="7"/>
      <c r="T35" s="7"/>
      <c r="U35" s="7">
        <v>98000</v>
      </c>
      <c r="V35" s="24" t="s">
        <v>137</v>
      </c>
    </row>
    <row r="36" spans="1:22" x14ac:dyDescent="0.25">
      <c r="A36" s="65"/>
      <c r="B36" s="55" t="s">
        <v>152</v>
      </c>
      <c r="C36" s="76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14"/>
      <c r="R36" s="7"/>
      <c r="S36" s="7"/>
      <c r="T36" s="7"/>
      <c r="U36" s="7"/>
      <c r="V36" s="24"/>
    </row>
    <row r="37" spans="1:22" x14ac:dyDescent="0.25">
      <c r="A37" s="65"/>
      <c r="B37" s="55" t="s">
        <v>152</v>
      </c>
      <c r="C37" s="76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14"/>
      <c r="R37" s="7"/>
      <c r="S37" s="7"/>
      <c r="T37" s="7"/>
      <c r="U37" s="7"/>
      <c r="V37" s="24"/>
    </row>
    <row r="38" spans="1:22" x14ac:dyDescent="0.25">
      <c r="A38" s="66"/>
      <c r="B38" s="57" t="s">
        <v>152</v>
      </c>
      <c r="C38" s="78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21">
        <f>A39</f>
        <v>55004</v>
      </c>
      <c r="R38" s="13"/>
      <c r="S38" s="13"/>
      <c r="T38" s="13"/>
      <c r="U38" s="13"/>
      <c r="V38" s="23"/>
    </row>
    <row r="39" spans="1:22" ht="42" x14ac:dyDescent="0.25">
      <c r="A39" s="65">
        <v>55004</v>
      </c>
      <c r="B39" s="55" t="s">
        <v>183</v>
      </c>
      <c r="C39" s="76">
        <v>44954</v>
      </c>
      <c r="D39" s="7">
        <v>16</v>
      </c>
      <c r="E39" s="7">
        <v>586260.26</v>
      </c>
      <c r="F39" s="7">
        <v>35964</v>
      </c>
      <c r="G39" s="7">
        <v>550296.26</v>
      </c>
      <c r="H39" s="7">
        <v>99053.326799999995</v>
      </c>
      <c r="I39" s="7">
        <v>649349.58680000005</v>
      </c>
      <c r="J39" s="7">
        <v>5503</v>
      </c>
      <c r="K39" s="7">
        <v>27515</v>
      </c>
      <c r="L39" s="7">
        <v>55029.626000000004</v>
      </c>
      <c r="M39" s="7"/>
      <c r="N39" s="7"/>
      <c r="O39" s="41">
        <v>99053.326799999995</v>
      </c>
      <c r="P39" s="7">
        <v>462249</v>
      </c>
      <c r="Q39" s="14"/>
      <c r="R39" s="17" t="s">
        <v>68</v>
      </c>
      <c r="S39" s="7">
        <v>247500</v>
      </c>
      <c r="T39" s="7"/>
      <c r="U39" s="7">
        <v>247500</v>
      </c>
      <c r="V39" s="24" t="s">
        <v>16</v>
      </c>
    </row>
    <row r="40" spans="1:22" x14ac:dyDescent="0.25">
      <c r="A40" s="65">
        <v>55004</v>
      </c>
      <c r="B40" s="55" t="s">
        <v>179</v>
      </c>
      <c r="C40" s="76"/>
      <c r="D40" s="7"/>
      <c r="E40" s="7">
        <v>99053.33</v>
      </c>
      <c r="F40" s="7"/>
      <c r="G40" s="7"/>
      <c r="H40" s="7"/>
      <c r="I40" s="7"/>
      <c r="J40" s="7"/>
      <c r="K40" s="7"/>
      <c r="L40" s="7"/>
      <c r="M40" s="7"/>
      <c r="N40" s="7"/>
      <c r="O40" s="7"/>
      <c r="P40" s="41">
        <v>99053.33</v>
      </c>
      <c r="Q40" s="14"/>
      <c r="R40" s="17" t="s">
        <v>69</v>
      </c>
      <c r="S40" s="7">
        <v>211745</v>
      </c>
      <c r="T40" s="7"/>
      <c r="U40" s="7">
        <v>211745</v>
      </c>
      <c r="V40" s="24" t="s">
        <v>17</v>
      </c>
    </row>
    <row r="41" spans="1:22" x14ac:dyDescent="0.25">
      <c r="A41" s="65">
        <v>55004</v>
      </c>
      <c r="B41" s="55"/>
      <c r="C41" s="76">
        <v>45029</v>
      </c>
      <c r="D41" s="7">
        <v>1</v>
      </c>
      <c r="E41" s="7">
        <v>63009.74</v>
      </c>
      <c r="F41" s="7"/>
      <c r="G41" s="7">
        <v>63009.74</v>
      </c>
      <c r="H41" s="7">
        <v>11341.753199999999</v>
      </c>
      <c r="I41" s="7">
        <v>74351.493199999997</v>
      </c>
      <c r="J41" s="7">
        <v>630.09739999999999</v>
      </c>
      <c r="K41" s="7">
        <v>3150</v>
      </c>
      <c r="L41" s="7">
        <v>6300.9740000000002</v>
      </c>
      <c r="M41" s="7"/>
      <c r="N41" s="7"/>
      <c r="O41" s="41">
        <v>11341.753199999999</v>
      </c>
      <c r="P41" s="7">
        <v>52929</v>
      </c>
      <c r="Q41" s="14"/>
      <c r="R41" s="17" t="s">
        <v>70</v>
      </c>
      <c r="S41" s="7">
        <v>52298</v>
      </c>
      <c r="T41" s="7"/>
      <c r="U41" s="7">
        <v>52298</v>
      </c>
      <c r="V41" s="24" t="s">
        <v>18</v>
      </c>
    </row>
    <row r="42" spans="1:22" x14ac:dyDescent="0.25">
      <c r="A42" s="65">
        <v>55004</v>
      </c>
      <c r="B42" s="55" t="s">
        <v>179</v>
      </c>
      <c r="C42" s="76"/>
      <c r="D42" s="7"/>
      <c r="E42" s="7">
        <v>11341</v>
      </c>
      <c r="F42" s="7">
        <v>0</v>
      </c>
      <c r="G42" s="7">
        <v>11341</v>
      </c>
      <c r="H42" s="7">
        <v>0</v>
      </c>
      <c r="I42" s="7">
        <v>11341</v>
      </c>
      <c r="J42" s="7">
        <v>0</v>
      </c>
      <c r="K42" s="7">
        <v>0</v>
      </c>
      <c r="L42" s="7"/>
      <c r="M42" s="7"/>
      <c r="N42" s="7"/>
      <c r="O42" s="7">
        <v>0</v>
      </c>
      <c r="P42" s="41">
        <v>11341</v>
      </c>
      <c r="Q42" s="14"/>
      <c r="R42" s="17" t="s">
        <v>71</v>
      </c>
      <c r="S42" s="7">
        <v>99053</v>
      </c>
      <c r="T42" s="7"/>
      <c r="U42" s="7">
        <v>99053</v>
      </c>
      <c r="V42" s="24" t="s">
        <v>19</v>
      </c>
    </row>
    <row r="43" spans="1:22" x14ac:dyDescent="0.25">
      <c r="A43" s="65"/>
      <c r="B43" s="55" t="s">
        <v>152</v>
      </c>
      <c r="C43" s="76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14"/>
      <c r="R43" s="17" t="s">
        <v>72</v>
      </c>
      <c r="S43" s="7">
        <v>11342</v>
      </c>
      <c r="T43" s="7"/>
      <c r="U43" s="7">
        <v>11342</v>
      </c>
      <c r="V43" s="24" t="s">
        <v>20</v>
      </c>
    </row>
    <row r="44" spans="1:22" x14ac:dyDescent="0.25">
      <c r="A44" s="65"/>
      <c r="B44" s="55" t="s">
        <v>152</v>
      </c>
      <c r="C44" s="76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14"/>
      <c r="R44" s="17" t="s">
        <v>73</v>
      </c>
      <c r="S44" s="7">
        <v>100000</v>
      </c>
      <c r="T44" s="7">
        <v>1000</v>
      </c>
      <c r="U44" s="7">
        <v>99000</v>
      </c>
      <c r="V44" s="24" t="s">
        <v>21</v>
      </c>
    </row>
    <row r="45" spans="1:22" x14ac:dyDescent="0.25">
      <c r="A45" s="66"/>
      <c r="B45" s="57" t="s">
        <v>152</v>
      </c>
      <c r="C45" s="78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1">
        <f>A46</f>
        <v>55330</v>
      </c>
      <c r="R45" s="13"/>
      <c r="S45" s="13"/>
      <c r="T45" s="13"/>
      <c r="U45" s="13"/>
      <c r="V45" s="23"/>
    </row>
    <row r="46" spans="1:22" ht="42" x14ac:dyDescent="0.25">
      <c r="A46" s="65">
        <v>55330</v>
      </c>
      <c r="B46" s="55" t="s">
        <v>184</v>
      </c>
      <c r="C46" s="76">
        <v>45087</v>
      </c>
      <c r="D46" s="7">
        <v>4</v>
      </c>
      <c r="E46" s="7">
        <v>1329783</v>
      </c>
      <c r="F46" s="7">
        <v>98901</v>
      </c>
      <c r="G46" s="7">
        <v>1230882</v>
      </c>
      <c r="H46" s="7">
        <v>221559</v>
      </c>
      <c r="I46" s="7">
        <v>1452441</v>
      </c>
      <c r="J46" s="7">
        <f>G46*2%</f>
        <v>24617.64</v>
      </c>
      <c r="K46" s="7">
        <f>G46*5%</f>
        <v>61544.100000000006</v>
      </c>
      <c r="L46" s="7">
        <f>5%*G46</f>
        <v>61544.100000000006</v>
      </c>
      <c r="M46" s="7">
        <f>G46*10%</f>
        <v>123088.20000000001</v>
      </c>
      <c r="N46" s="7">
        <v>183249</v>
      </c>
      <c r="O46" s="41">
        <v>221559</v>
      </c>
      <c r="P46" s="7">
        <f>G46-J46-K46-L46-M46-N46</f>
        <v>776838.96</v>
      </c>
      <c r="Q46" s="14"/>
      <c r="R46" s="7" t="s">
        <v>13</v>
      </c>
      <c r="S46" s="7">
        <v>100000</v>
      </c>
      <c r="T46" s="7">
        <f>S46*2%</f>
        <v>2000</v>
      </c>
      <c r="U46" s="7">
        <v>98000</v>
      </c>
      <c r="V46" s="24" t="s">
        <v>14</v>
      </c>
    </row>
    <row r="47" spans="1:22" x14ac:dyDescent="0.25">
      <c r="A47" s="65">
        <v>55330</v>
      </c>
      <c r="B47" s="55" t="s">
        <v>179</v>
      </c>
      <c r="C47" s="79">
        <v>45128</v>
      </c>
      <c r="D47" s="18">
        <v>4</v>
      </c>
      <c r="E47" s="7">
        <f>O46</f>
        <v>221559</v>
      </c>
      <c r="F47" s="17">
        <v>0</v>
      </c>
      <c r="G47" s="17">
        <f>E47-F47</f>
        <v>221559</v>
      </c>
      <c r="H47" s="17">
        <v>0</v>
      </c>
      <c r="I47" s="17">
        <f>G47+H47</f>
        <v>221559</v>
      </c>
      <c r="J47" s="17">
        <v>0</v>
      </c>
      <c r="K47" s="17">
        <v>0</v>
      </c>
      <c r="L47" s="17">
        <v>0</v>
      </c>
      <c r="M47" s="17">
        <v>0</v>
      </c>
      <c r="N47" s="25"/>
      <c r="O47" s="17">
        <f>H47</f>
        <v>0</v>
      </c>
      <c r="P47" s="41">
        <f>ROUND(I47-SUM(J47:O47),0)</f>
        <v>221559</v>
      </c>
      <c r="Q47" s="14"/>
      <c r="R47" s="17" t="s">
        <v>66</v>
      </c>
      <c r="S47" s="7">
        <v>678839</v>
      </c>
      <c r="T47" s="7">
        <v>0</v>
      </c>
      <c r="U47" s="7">
        <v>678839</v>
      </c>
      <c r="V47" s="24" t="s">
        <v>15</v>
      </c>
    </row>
    <row r="48" spans="1:22" x14ac:dyDescent="0.25">
      <c r="A48" s="65"/>
      <c r="B48" s="55" t="s">
        <v>152</v>
      </c>
      <c r="C48" s="76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14"/>
      <c r="R48" s="17" t="s">
        <v>67</v>
      </c>
      <c r="S48" s="7">
        <v>221559</v>
      </c>
      <c r="T48" s="7"/>
      <c r="U48" s="7">
        <v>221559</v>
      </c>
      <c r="V48" s="24" t="s">
        <v>65</v>
      </c>
    </row>
    <row r="49" spans="1:22" x14ac:dyDescent="0.25">
      <c r="A49" s="65"/>
      <c r="B49" s="55" t="s">
        <v>152</v>
      </c>
      <c r="C49" s="76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14"/>
      <c r="R49" s="7" t="s">
        <v>142</v>
      </c>
      <c r="S49" s="7">
        <v>88200</v>
      </c>
      <c r="T49" s="7"/>
      <c r="U49" s="7">
        <v>88200</v>
      </c>
      <c r="V49" s="24" t="s">
        <v>141</v>
      </c>
    </row>
    <row r="50" spans="1:22" x14ac:dyDescent="0.25">
      <c r="A50" s="66"/>
      <c r="B50" s="57" t="s">
        <v>152</v>
      </c>
      <c r="C50" s="78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45">
        <f>A51</f>
        <v>55537</v>
      </c>
      <c r="R50" s="13"/>
      <c r="S50" s="13"/>
      <c r="T50" s="13"/>
      <c r="U50" s="13"/>
      <c r="V50" s="23"/>
    </row>
    <row r="51" spans="1:22" ht="42" x14ac:dyDescent="0.25">
      <c r="A51" s="65">
        <v>55537</v>
      </c>
      <c r="B51" s="55" t="s">
        <v>185</v>
      </c>
      <c r="C51" s="80">
        <v>45105</v>
      </c>
      <c r="D51" s="16">
        <v>3</v>
      </c>
      <c r="E51" s="17">
        <v>1135239.28</v>
      </c>
      <c r="F51" s="17">
        <v>0</v>
      </c>
      <c r="G51" s="17">
        <f>E51-F51</f>
        <v>1135239.28</v>
      </c>
      <c r="H51" s="7">
        <f>ROUND(G51*H6,0)</f>
        <v>204343</v>
      </c>
      <c r="I51" s="17">
        <f>ROUND(G51+H51,)</f>
        <v>1339582</v>
      </c>
      <c r="J51" s="17">
        <f>ROUND(G51*$J$6,)</f>
        <v>11352</v>
      </c>
      <c r="K51" s="17">
        <f>ROUND(G51*$K$6,)</f>
        <v>56762</v>
      </c>
      <c r="L51" s="17">
        <f>ROUND(G51*5%,)</f>
        <v>56762</v>
      </c>
      <c r="M51" s="17">
        <f>ROUND(G51*$M$6,)</f>
        <v>113524</v>
      </c>
      <c r="N51" s="26">
        <v>196336</v>
      </c>
      <c r="O51" s="42">
        <f>H51</f>
        <v>204343</v>
      </c>
      <c r="P51" s="17">
        <f>ROUND(I51-SUM(J51:O51),0)</f>
        <v>700503</v>
      </c>
      <c r="Q51" s="14"/>
      <c r="R51" s="17" t="s">
        <v>45</v>
      </c>
      <c r="S51" s="7">
        <v>100000</v>
      </c>
      <c r="T51" s="7">
        <f>S51*T6</f>
        <v>1000</v>
      </c>
      <c r="U51" s="7">
        <v>99000</v>
      </c>
      <c r="V51" s="24" t="s">
        <v>12</v>
      </c>
    </row>
    <row r="52" spans="1:22" x14ac:dyDescent="0.25">
      <c r="A52" s="65">
        <v>55537</v>
      </c>
      <c r="B52" s="55" t="s">
        <v>179</v>
      </c>
      <c r="C52" s="79"/>
      <c r="D52" s="18">
        <v>3</v>
      </c>
      <c r="E52" s="17">
        <f>O51</f>
        <v>204343</v>
      </c>
      <c r="F52" s="17">
        <v>0</v>
      </c>
      <c r="G52" s="17"/>
      <c r="H52" s="17"/>
      <c r="I52" s="17"/>
      <c r="J52" s="17"/>
      <c r="K52" s="17"/>
      <c r="L52" s="17"/>
      <c r="M52" s="17">
        <v>0</v>
      </c>
      <c r="N52" s="25"/>
      <c r="O52" s="17">
        <f>H52</f>
        <v>0</v>
      </c>
      <c r="P52" s="42">
        <f>E52</f>
        <v>204343</v>
      </c>
      <c r="Q52" s="14"/>
      <c r="R52" s="17" t="s">
        <v>47</v>
      </c>
      <c r="S52" s="7">
        <v>601503</v>
      </c>
      <c r="T52" s="7">
        <v>0</v>
      </c>
      <c r="U52" s="7">
        <v>601503</v>
      </c>
      <c r="V52" s="24" t="s">
        <v>48</v>
      </c>
    </row>
    <row r="53" spans="1:22" x14ac:dyDescent="0.25">
      <c r="A53" s="65">
        <v>55537</v>
      </c>
      <c r="B53" s="58"/>
      <c r="C53" s="80">
        <v>45105</v>
      </c>
      <c r="D53" s="16">
        <v>11</v>
      </c>
      <c r="E53" s="17">
        <v>862841</v>
      </c>
      <c r="F53" s="17">
        <v>0</v>
      </c>
      <c r="G53" s="17">
        <f>E53-F53</f>
        <v>862841</v>
      </c>
      <c r="H53" s="17">
        <f>ROUND(G53*18%,0)</f>
        <v>155311</v>
      </c>
      <c r="I53" s="17">
        <f>G53+H53</f>
        <v>1018152</v>
      </c>
      <c r="J53" s="17">
        <f>G53*1%</f>
        <v>8628.41</v>
      </c>
      <c r="K53" s="17">
        <f>G53*5%</f>
        <v>43142.05</v>
      </c>
      <c r="L53" s="17">
        <f>G53*10%</f>
        <v>86284.1</v>
      </c>
      <c r="M53" s="17">
        <f>G53*10%</f>
        <v>86284.1</v>
      </c>
      <c r="N53" s="17">
        <v>229045</v>
      </c>
      <c r="O53" s="42">
        <f>H53</f>
        <v>155311</v>
      </c>
      <c r="P53" s="17">
        <f>ROUNDUP(I53-SUM(J53:O53),0)</f>
        <v>409458</v>
      </c>
      <c r="Q53" s="14"/>
      <c r="R53" s="17" t="s">
        <v>49</v>
      </c>
      <c r="S53" s="7">
        <v>204343</v>
      </c>
      <c r="T53" s="7"/>
      <c r="U53" s="7">
        <v>204343</v>
      </c>
      <c r="V53" s="24" t="s">
        <v>50</v>
      </c>
    </row>
    <row r="54" spans="1:22" x14ac:dyDescent="0.25">
      <c r="A54" s="65">
        <v>55537</v>
      </c>
      <c r="B54" s="55" t="s">
        <v>179</v>
      </c>
      <c r="C54" s="79"/>
      <c r="D54" s="18">
        <v>11</v>
      </c>
      <c r="E54" s="17">
        <f>O53</f>
        <v>155311</v>
      </c>
      <c r="F54" s="17">
        <v>0</v>
      </c>
      <c r="G54" s="17"/>
      <c r="H54" s="17"/>
      <c r="I54" s="17"/>
      <c r="J54" s="17">
        <v>0</v>
      </c>
      <c r="K54" s="17">
        <v>0</v>
      </c>
      <c r="L54" s="17">
        <v>0</v>
      </c>
      <c r="M54" s="17">
        <v>0</v>
      </c>
      <c r="N54" s="25"/>
      <c r="O54" s="17">
        <f>H54</f>
        <v>0</v>
      </c>
      <c r="P54" s="42">
        <f>E54</f>
        <v>155311</v>
      </c>
      <c r="Q54" s="14"/>
      <c r="R54" s="17" t="s">
        <v>108</v>
      </c>
      <c r="S54" s="7">
        <v>409458</v>
      </c>
      <c r="T54" s="7"/>
      <c r="U54" s="7">
        <v>409458</v>
      </c>
      <c r="V54" s="24" t="s">
        <v>107</v>
      </c>
    </row>
    <row r="55" spans="1:22" x14ac:dyDescent="0.25">
      <c r="A55" s="65"/>
      <c r="B55" s="55" t="s">
        <v>152</v>
      </c>
      <c r="C55" s="76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14"/>
      <c r="R55" s="7"/>
      <c r="S55" s="7"/>
      <c r="T55" s="7"/>
      <c r="U55" s="7">
        <v>155311</v>
      </c>
      <c r="V55" s="24" t="s">
        <v>124</v>
      </c>
    </row>
    <row r="56" spans="1:22" x14ac:dyDescent="0.25">
      <c r="A56" s="65"/>
      <c r="B56" s="55" t="s">
        <v>152</v>
      </c>
      <c r="C56" s="76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14"/>
      <c r="R56" s="7"/>
      <c r="S56" s="7"/>
      <c r="T56" s="7"/>
      <c r="U56" s="7">
        <v>148500</v>
      </c>
      <c r="V56" s="24" t="s">
        <v>136</v>
      </c>
    </row>
    <row r="57" spans="1:22" x14ac:dyDescent="0.25">
      <c r="A57" s="66"/>
      <c r="B57" s="57" t="s">
        <v>152</v>
      </c>
      <c r="C57" s="78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45">
        <f>A58</f>
        <v>57300</v>
      </c>
      <c r="R57" s="13"/>
      <c r="S57" s="13"/>
      <c r="T57" s="13"/>
      <c r="U57" s="13"/>
      <c r="V57" s="23"/>
    </row>
    <row r="58" spans="1:22" ht="42" x14ac:dyDescent="0.25">
      <c r="A58" s="65">
        <v>57300</v>
      </c>
      <c r="B58" s="55" t="s">
        <v>186</v>
      </c>
      <c r="C58" s="80">
        <v>45313</v>
      </c>
      <c r="D58" s="16">
        <v>14</v>
      </c>
      <c r="E58" s="17">
        <v>666088</v>
      </c>
      <c r="F58" s="17">
        <v>56986</v>
      </c>
      <c r="G58" s="17">
        <f>E58-F58</f>
        <v>609102</v>
      </c>
      <c r="H58" s="7">
        <f>G58*18%</f>
        <v>109638.36</v>
      </c>
      <c r="I58" s="17">
        <f>ROUND(G58+H58,)</f>
        <v>718740</v>
      </c>
      <c r="J58" s="17">
        <f>ROUND(G58*$J$6,)</f>
        <v>6091</v>
      </c>
      <c r="K58" s="17">
        <f>ROUND(G58*$K$6,)</f>
        <v>30455</v>
      </c>
      <c r="L58" s="17">
        <f>ROUND(G58*10%,)</f>
        <v>60910</v>
      </c>
      <c r="M58" s="17">
        <f>ROUND(G58*$M$6,)</f>
        <v>60910</v>
      </c>
      <c r="N58" s="26">
        <v>198485</v>
      </c>
      <c r="O58" s="42">
        <f>H58</f>
        <v>109638.36</v>
      </c>
      <c r="P58" s="17">
        <f>ROUND(I58-SUM(J58:O58),0)</f>
        <v>252251</v>
      </c>
      <c r="Q58" s="14"/>
      <c r="R58" s="17" t="s">
        <v>64</v>
      </c>
      <c r="S58" s="7">
        <v>100000</v>
      </c>
      <c r="T58" s="7">
        <f>S58*$T$6</f>
        <v>1000</v>
      </c>
      <c r="U58" s="7">
        <v>99000</v>
      </c>
      <c r="V58" s="24" t="s">
        <v>11</v>
      </c>
    </row>
    <row r="59" spans="1:22" x14ac:dyDescent="0.25">
      <c r="A59" s="65">
        <v>57300</v>
      </c>
      <c r="B59" s="55" t="s">
        <v>179</v>
      </c>
      <c r="C59" s="79"/>
      <c r="D59" s="18">
        <v>14</v>
      </c>
      <c r="E59" s="27">
        <f>O58</f>
        <v>109638.36</v>
      </c>
      <c r="F59" s="27"/>
      <c r="G59" s="17"/>
      <c r="H59" s="17"/>
      <c r="I59" s="17"/>
      <c r="J59" s="17"/>
      <c r="K59" s="17"/>
      <c r="L59" s="17"/>
      <c r="M59" s="17"/>
      <c r="N59" s="17"/>
      <c r="O59" s="17"/>
      <c r="P59" s="42">
        <f>E59</f>
        <v>109638.36</v>
      </c>
      <c r="Q59" s="14"/>
      <c r="R59" s="17" t="s">
        <v>106</v>
      </c>
      <c r="S59" s="7">
        <v>100000</v>
      </c>
      <c r="T59" s="7">
        <f>S59*$T$6</f>
        <v>1000</v>
      </c>
      <c r="U59" s="7">
        <v>99000</v>
      </c>
      <c r="V59" s="24" t="s">
        <v>105</v>
      </c>
    </row>
    <row r="60" spans="1:22" x14ac:dyDescent="0.25">
      <c r="A60" s="65">
        <v>57300</v>
      </c>
      <c r="B60" s="55" t="s">
        <v>152</v>
      </c>
      <c r="C60" s="76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14"/>
      <c r="R60" s="17" t="s">
        <v>114</v>
      </c>
      <c r="S60" s="7">
        <v>54251</v>
      </c>
      <c r="T60" s="7">
        <v>0</v>
      </c>
      <c r="U60" s="7">
        <v>54251</v>
      </c>
      <c r="V60" s="24" t="s">
        <v>113</v>
      </c>
    </row>
    <row r="61" spans="1:22" x14ac:dyDescent="0.25">
      <c r="A61" s="65"/>
      <c r="B61" s="55" t="s">
        <v>152</v>
      </c>
      <c r="C61" s="76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14"/>
      <c r="R61" s="17"/>
      <c r="S61" s="7"/>
      <c r="T61" s="7"/>
      <c r="U61" s="7">
        <v>109638</v>
      </c>
      <c r="V61" s="24" t="s">
        <v>120</v>
      </c>
    </row>
    <row r="62" spans="1:22" x14ac:dyDescent="0.25">
      <c r="A62" s="65"/>
      <c r="B62" s="55" t="s">
        <v>152</v>
      </c>
      <c r="C62" s="76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14"/>
      <c r="R62" s="17"/>
      <c r="S62" s="7"/>
      <c r="T62" s="7"/>
      <c r="U62" s="7">
        <v>49500</v>
      </c>
      <c r="V62" s="24" t="s">
        <v>135</v>
      </c>
    </row>
    <row r="63" spans="1:22" x14ac:dyDescent="0.25">
      <c r="A63" s="66"/>
      <c r="B63" s="57" t="s">
        <v>152</v>
      </c>
      <c r="C63" s="78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21">
        <f>A64</f>
        <v>57301</v>
      </c>
      <c r="R63" s="13"/>
      <c r="S63" s="13"/>
      <c r="T63" s="13"/>
      <c r="U63" s="13"/>
      <c r="V63" s="23"/>
    </row>
    <row r="64" spans="1:22" ht="42" x14ac:dyDescent="0.25">
      <c r="A64" s="65">
        <v>57301</v>
      </c>
      <c r="B64" s="55" t="s">
        <v>187</v>
      </c>
      <c r="C64" s="76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14"/>
      <c r="R64" s="17" t="s">
        <v>112</v>
      </c>
      <c r="S64" s="7">
        <v>200000</v>
      </c>
      <c r="T64" s="7">
        <f>S64*$T$6</f>
        <v>2000</v>
      </c>
      <c r="U64" s="7">
        <v>198000</v>
      </c>
      <c r="V64" s="24" t="s">
        <v>111</v>
      </c>
    </row>
    <row r="65" spans="1:22" x14ac:dyDescent="0.25">
      <c r="A65" s="65">
        <v>57301</v>
      </c>
      <c r="B65" s="55" t="s">
        <v>152</v>
      </c>
      <c r="C65" s="76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14"/>
      <c r="R65" s="17"/>
      <c r="S65" s="7"/>
      <c r="T65" s="7"/>
      <c r="U65" s="7">
        <v>198000</v>
      </c>
      <c r="V65" s="24" t="s">
        <v>156</v>
      </c>
    </row>
    <row r="66" spans="1:22" x14ac:dyDescent="0.25">
      <c r="A66" s="66"/>
      <c r="B66" s="57" t="s">
        <v>152</v>
      </c>
      <c r="C66" s="78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45">
        <f>A67</f>
        <v>57302</v>
      </c>
      <c r="R66" s="13"/>
      <c r="S66" s="13"/>
      <c r="T66" s="13"/>
      <c r="U66" s="13"/>
      <c r="V66" s="23"/>
    </row>
    <row r="67" spans="1:22" ht="42" x14ac:dyDescent="0.25">
      <c r="A67" s="65">
        <v>57302</v>
      </c>
      <c r="B67" s="55" t="s">
        <v>188</v>
      </c>
      <c r="C67" s="81">
        <v>45104</v>
      </c>
      <c r="D67" s="28">
        <v>1</v>
      </c>
      <c r="E67" s="7">
        <v>832509</v>
      </c>
      <c r="F67" s="7">
        <v>0</v>
      </c>
      <c r="G67" s="7">
        <f>ROUND(E67-F67,)</f>
        <v>832509</v>
      </c>
      <c r="H67" s="7">
        <f>ROUND(G67*H6,0)</f>
        <v>149852</v>
      </c>
      <c r="I67" s="7">
        <f>G67+H67</f>
        <v>982361</v>
      </c>
      <c r="J67" s="7">
        <f>ROUND(G67*$J$6,)</f>
        <v>8325</v>
      </c>
      <c r="K67" s="7">
        <f>ROUND(G67*$K$6,)</f>
        <v>41625</v>
      </c>
      <c r="L67" s="7">
        <f>ROUND(G67*5%,)</f>
        <v>41625</v>
      </c>
      <c r="M67" s="7">
        <f>ROUND(G67*$M$6,)</f>
        <v>83251</v>
      </c>
      <c r="N67" s="7">
        <f>199182+1900</f>
        <v>201082</v>
      </c>
      <c r="O67" s="41">
        <f>H67</f>
        <v>149852</v>
      </c>
      <c r="P67" s="7">
        <f>ROUND(I67-SUM(J67:O67),0)</f>
        <v>456601</v>
      </c>
      <c r="Q67" s="14"/>
      <c r="R67" s="17" t="s">
        <v>61</v>
      </c>
      <c r="S67" s="7">
        <v>100000</v>
      </c>
      <c r="T67" s="7">
        <f>S67*$T$6</f>
        <v>1000</v>
      </c>
      <c r="U67" s="7">
        <v>99000</v>
      </c>
      <c r="V67" s="24" t="s">
        <v>10</v>
      </c>
    </row>
    <row r="68" spans="1:22" x14ac:dyDescent="0.25">
      <c r="A68" s="65">
        <v>57302</v>
      </c>
      <c r="B68" s="55" t="s">
        <v>179</v>
      </c>
      <c r="C68" s="81">
        <v>45105</v>
      </c>
      <c r="D68" s="28">
        <v>1</v>
      </c>
      <c r="E68" s="7">
        <f>O67</f>
        <v>149852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41">
        <f>E68</f>
        <v>149852</v>
      </c>
      <c r="Q68" s="14"/>
      <c r="R68" s="17" t="s">
        <v>62</v>
      </c>
      <c r="S68" s="7">
        <v>357601</v>
      </c>
      <c r="T68" s="7"/>
      <c r="U68" s="7">
        <v>357601</v>
      </c>
      <c r="V68" s="24" t="s">
        <v>59</v>
      </c>
    </row>
    <row r="69" spans="1:22" x14ac:dyDescent="0.25">
      <c r="A69" s="65">
        <v>57302</v>
      </c>
      <c r="B69" s="55"/>
      <c r="C69" s="81">
        <v>45184</v>
      </c>
      <c r="D69" s="28">
        <v>6</v>
      </c>
      <c r="E69" s="7">
        <v>594987.25</v>
      </c>
      <c r="F69" s="7">
        <v>0</v>
      </c>
      <c r="G69" s="7">
        <f>E69-F69</f>
        <v>594987.25</v>
      </c>
      <c r="H69" s="7">
        <f>ROUND(G69*18%,0)</f>
        <v>107098</v>
      </c>
      <c r="I69" s="7">
        <f>G69+H69</f>
        <v>702085.25</v>
      </c>
      <c r="J69" s="7">
        <f>G69*1%</f>
        <v>5949.8725000000004</v>
      </c>
      <c r="K69" s="7">
        <f>G69*5%</f>
        <v>29749.362500000003</v>
      </c>
      <c r="L69" s="7">
        <f>G69*5%</f>
        <v>29749.362500000003</v>
      </c>
      <c r="M69" s="7">
        <f>G69*10%</f>
        <v>59498.725000000006</v>
      </c>
      <c r="N69" s="7">
        <v>0</v>
      </c>
      <c r="O69" s="41">
        <f>H69</f>
        <v>107098</v>
      </c>
      <c r="P69" s="7">
        <f>ROUNDUP(I69-SUM(J69:O69),0)</f>
        <v>470040</v>
      </c>
      <c r="Q69" s="14"/>
      <c r="R69" s="17" t="s">
        <v>63</v>
      </c>
      <c r="S69" s="7">
        <v>149852</v>
      </c>
      <c r="T69" s="7"/>
      <c r="U69" s="7">
        <v>149852</v>
      </c>
      <c r="V69" s="24" t="s">
        <v>60</v>
      </c>
    </row>
    <row r="70" spans="1:22" x14ac:dyDescent="0.25">
      <c r="A70" s="65">
        <v>57302</v>
      </c>
      <c r="B70" s="55" t="s">
        <v>179</v>
      </c>
      <c r="C70" s="81"/>
      <c r="D70" s="28">
        <v>6</v>
      </c>
      <c r="E70" s="7">
        <v>107098</v>
      </c>
      <c r="F70" s="7"/>
      <c r="G70" s="7">
        <f>E70-F70</f>
        <v>107098</v>
      </c>
      <c r="H70" s="7"/>
      <c r="I70" s="7">
        <f>G70+H70</f>
        <v>107098</v>
      </c>
      <c r="J70" s="7"/>
      <c r="K70" s="7"/>
      <c r="L70" s="7"/>
      <c r="M70" s="7"/>
      <c r="N70" s="7"/>
      <c r="O70" s="7"/>
      <c r="P70" s="41">
        <f>ROUNDUP(I70-SUM(J70:O70),0)</f>
        <v>107098</v>
      </c>
      <c r="Q70" s="14"/>
      <c r="R70" s="17" t="s">
        <v>90</v>
      </c>
      <c r="S70" s="7">
        <v>470040</v>
      </c>
      <c r="T70" s="7"/>
      <c r="U70" s="7">
        <v>470040</v>
      </c>
      <c r="V70" s="24" t="s">
        <v>87</v>
      </c>
    </row>
    <row r="71" spans="1:22" x14ac:dyDescent="0.25">
      <c r="A71" s="65"/>
      <c r="B71" s="55" t="s">
        <v>152</v>
      </c>
      <c r="C71" s="81"/>
      <c r="D71" s="28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14"/>
      <c r="R71" s="17" t="s">
        <v>104</v>
      </c>
      <c r="S71" s="7">
        <v>107098</v>
      </c>
      <c r="T71" s="7"/>
      <c r="U71" s="7">
        <v>107098</v>
      </c>
      <c r="V71" s="24" t="s">
        <v>103</v>
      </c>
    </row>
    <row r="72" spans="1:22" x14ac:dyDescent="0.25">
      <c r="A72" s="65"/>
      <c r="B72" s="55" t="s">
        <v>152</v>
      </c>
      <c r="C72" s="81"/>
      <c r="D72" s="28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14"/>
      <c r="R72" s="17" t="s">
        <v>140</v>
      </c>
      <c r="S72" s="7"/>
      <c r="T72" s="7"/>
      <c r="U72" s="7">
        <v>99000</v>
      </c>
      <c r="V72" s="24" t="s">
        <v>139</v>
      </c>
    </row>
    <row r="73" spans="1:22" x14ac:dyDescent="0.25">
      <c r="A73" s="66"/>
      <c r="B73" s="57" t="s">
        <v>152</v>
      </c>
      <c r="C73" s="78"/>
      <c r="D73" s="13"/>
      <c r="E73" s="13"/>
      <c r="F73" s="13"/>
      <c r="G73" s="13">
        <f>E73-F73</f>
        <v>0</v>
      </c>
      <c r="H73" s="13">
        <v>0</v>
      </c>
      <c r="I73" s="13">
        <f>G73+H73</f>
        <v>0</v>
      </c>
      <c r="J73" s="13">
        <f>J$6*I73</f>
        <v>0</v>
      </c>
      <c r="K73" s="13">
        <v>0</v>
      </c>
      <c r="L73" s="13"/>
      <c r="M73" s="13"/>
      <c r="N73" s="13"/>
      <c r="O73" s="13">
        <v>0</v>
      </c>
      <c r="P73" s="13">
        <f>I73-SUM(J73:O73)</f>
        <v>0</v>
      </c>
      <c r="Q73" s="45">
        <f>A74</f>
        <v>57303</v>
      </c>
      <c r="R73" s="13"/>
      <c r="S73" s="13"/>
      <c r="T73" s="13"/>
      <c r="U73" s="13"/>
      <c r="V73" s="23"/>
    </row>
    <row r="74" spans="1:22" ht="42" x14ac:dyDescent="0.25">
      <c r="A74" s="65">
        <v>57303</v>
      </c>
      <c r="B74" s="55" t="s">
        <v>189</v>
      </c>
      <c r="C74" s="81">
        <v>45064</v>
      </c>
      <c r="D74" s="28">
        <v>1</v>
      </c>
      <c r="E74" s="7">
        <v>936564</v>
      </c>
      <c r="F74" s="7">
        <v>0</v>
      </c>
      <c r="G74" s="7">
        <f>ROUND(E74-F74,)</f>
        <v>936564</v>
      </c>
      <c r="H74" s="7">
        <f>ROUND(G74*H6,0)</f>
        <v>168582</v>
      </c>
      <c r="I74" s="7">
        <f>G74+H74</f>
        <v>1105146</v>
      </c>
      <c r="J74" s="7">
        <f>ROUND(G74*$J$6,)</f>
        <v>9366</v>
      </c>
      <c r="K74" s="7">
        <f>ROUND(G74*$K$6,)</f>
        <v>46828</v>
      </c>
      <c r="L74" s="7">
        <f>ROUND(G74*10%,)</f>
        <v>93656</v>
      </c>
      <c r="M74" s="7">
        <f>ROUND(G74*$M$6,)</f>
        <v>93656</v>
      </c>
      <c r="N74" s="7">
        <v>78887</v>
      </c>
      <c r="O74" s="41">
        <f>H74</f>
        <v>168582</v>
      </c>
      <c r="P74" s="7">
        <f>ROUND(I74-SUM(J74:O74),0)</f>
        <v>614171</v>
      </c>
      <c r="Q74" s="14"/>
      <c r="R74" s="17" t="s">
        <v>57</v>
      </c>
      <c r="S74" s="7">
        <v>614170</v>
      </c>
      <c r="T74" s="7"/>
      <c r="U74" s="7">
        <v>614170</v>
      </c>
      <c r="V74" s="24" t="s">
        <v>8</v>
      </c>
    </row>
    <row r="75" spans="1:22" x14ac:dyDescent="0.25">
      <c r="A75" s="65">
        <v>57303</v>
      </c>
      <c r="B75" s="55" t="s">
        <v>179</v>
      </c>
      <c r="C75" s="81">
        <v>45065</v>
      </c>
      <c r="D75" s="28">
        <v>1</v>
      </c>
      <c r="E75" s="7">
        <f>O74</f>
        <v>168582</v>
      </c>
      <c r="F75" s="7"/>
      <c r="G75" s="7"/>
      <c r="H75" s="7"/>
      <c r="I75" s="7"/>
      <c r="J75" s="7"/>
      <c r="K75" s="7"/>
      <c r="L75" s="7"/>
      <c r="M75" s="7"/>
      <c r="N75" s="7"/>
      <c r="O75" s="7"/>
      <c r="P75" s="41">
        <f>E75</f>
        <v>168582</v>
      </c>
      <c r="Q75" s="14"/>
      <c r="R75" s="17" t="s">
        <v>58</v>
      </c>
      <c r="S75" s="7">
        <v>168582</v>
      </c>
      <c r="T75" s="7"/>
      <c r="U75" s="7">
        <v>168582</v>
      </c>
      <c r="V75" s="24" t="s">
        <v>9</v>
      </c>
    </row>
    <row r="76" spans="1:22" x14ac:dyDescent="0.25">
      <c r="A76" s="65">
        <v>57303</v>
      </c>
      <c r="B76" s="58"/>
      <c r="C76" s="79">
        <v>45194</v>
      </c>
      <c r="D76" s="18">
        <v>7</v>
      </c>
      <c r="E76" s="17">
        <v>551059</v>
      </c>
      <c r="F76" s="17">
        <v>67382</v>
      </c>
      <c r="G76" s="17">
        <f>E76-F76</f>
        <v>483677</v>
      </c>
      <c r="H76" s="17">
        <f>G76*18%</f>
        <v>87061.86</v>
      </c>
      <c r="I76" s="17">
        <f>G76+H76</f>
        <v>570738.86</v>
      </c>
      <c r="J76" s="17">
        <f>G76*1%</f>
        <v>4836.7700000000004</v>
      </c>
      <c r="K76" s="17">
        <f>ROUND(G76*$K$6,)</f>
        <v>24184</v>
      </c>
      <c r="L76" s="17">
        <f>ROUND(G76*10%,)</f>
        <v>48368</v>
      </c>
      <c r="M76" s="17">
        <f>ROUND(G76*$M$6,)</f>
        <v>48368</v>
      </c>
      <c r="N76" s="17">
        <v>0</v>
      </c>
      <c r="O76" s="42">
        <f>H76</f>
        <v>87061.86</v>
      </c>
      <c r="P76" s="17">
        <f>I76-SUM(J76:O76)</f>
        <v>357920.23</v>
      </c>
      <c r="Q76" s="14"/>
      <c r="R76" s="17" t="s">
        <v>91</v>
      </c>
      <c r="S76" s="17">
        <v>357920</v>
      </c>
      <c r="T76" s="17">
        <v>0</v>
      </c>
      <c r="U76" s="7">
        <v>357920</v>
      </c>
      <c r="V76" s="29" t="s">
        <v>92</v>
      </c>
    </row>
    <row r="77" spans="1:22" x14ac:dyDescent="0.25">
      <c r="A77" s="65">
        <v>57303</v>
      </c>
      <c r="B77" s="55" t="s">
        <v>179</v>
      </c>
      <c r="C77" s="79">
        <v>45218</v>
      </c>
      <c r="D77" s="16">
        <v>7</v>
      </c>
      <c r="E77" s="17">
        <v>87062</v>
      </c>
      <c r="F77" s="17"/>
      <c r="G77" s="17">
        <f>E77-F77</f>
        <v>87062</v>
      </c>
      <c r="H77" s="17"/>
      <c r="I77" s="17">
        <f>G77+H77</f>
        <v>87062</v>
      </c>
      <c r="J77" s="17"/>
      <c r="K77" s="17"/>
      <c r="L77" s="17"/>
      <c r="M77" s="17"/>
      <c r="N77" s="17"/>
      <c r="O77" s="17"/>
      <c r="P77" s="42">
        <f>I77-SUM(J77:O77)</f>
        <v>87062</v>
      </c>
      <c r="Q77" s="14"/>
      <c r="R77" s="17" t="s">
        <v>91</v>
      </c>
      <c r="S77" s="17">
        <v>87062</v>
      </c>
      <c r="T77" s="17">
        <v>0</v>
      </c>
      <c r="U77" s="7">
        <v>87062</v>
      </c>
      <c r="V77" s="15" t="s">
        <v>102</v>
      </c>
    </row>
    <row r="78" spans="1:22" x14ac:dyDescent="0.25">
      <c r="A78" s="65"/>
      <c r="B78" s="58" t="s">
        <v>152</v>
      </c>
      <c r="C78" s="79"/>
      <c r="D78" s="16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42"/>
      <c r="Q78" s="14"/>
      <c r="R78" s="17"/>
      <c r="S78" s="17"/>
      <c r="T78" s="17"/>
      <c r="U78" s="7">
        <v>49500</v>
      </c>
      <c r="V78" s="15" t="s">
        <v>134</v>
      </c>
    </row>
    <row r="79" spans="1:22" x14ac:dyDescent="0.25">
      <c r="A79" s="66"/>
      <c r="B79" s="57" t="s">
        <v>152</v>
      </c>
      <c r="C79" s="78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45">
        <f>A80</f>
        <v>57808</v>
      </c>
      <c r="R79" s="13"/>
      <c r="S79" s="13"/>
      <c r="T79" s="13"/>
      <c r="U79" s="13"/>
      <c r="V79" s="23"/>
    </row>
    <row r="80" spans="1:22" ht="42" x14ac:dyDescent="0.25">
      <c r="A80" s="65">
        <v>57808</v>
      </c>
      <c r="B80" s="58" t="s">
        <v>190</v>
      </c>
      <c r="C80" s="81">
        <v>45064</v>
      </c>
      <c r="D80" s="28">
        <v>1</v>
      </c>
      <c r="E80" s="7">
        <v>1621680</v>
      </c>
      <c r="F80" s="7">
        <v>17982</v>
      </c>
      <c r="G80" s="7">
        <f>ROUND(E80-F80,)</f>
        <v>1603698</v>
      </c>
      <c r="H80" s="7">
        <f>ROUND(G80*H6,0)</f>
        <v>288666</v>
      </c>
      <c r="I80" s="7">
        <f>G80+H80</f>
        <v>1892364</v>
      </c>
      <c r="J80" s="7">
        <f>ROUND(G80*$J$6,)</f>
        <v>16037</v>
      </c>
      <c r="K80" s="7">
        <f>ROUND(G80*$K$6,)</f>
        <v>80185</v>
      </c>
      <c r="L80" s="7">
        <f>ROUND(G80*5%,)</f>
        <v>80185</v>
      </c>
      <c r="M80" s="7">
        <f>ROUND(G80*$M$6,)</f>
        <v>160370</v>
      </c>
      <c r="N80" s="7">
        <v>305417</v>
      </c>
      <c r="O80" s="41">
        <f>H80</f>
        <v>288666</v>
      </c>
      <c r="P80" s="7">
        <f>ROUND(I80-SUM(J80:O80),0)</f>
        <v>961504</v>
      </c>
      <c r="Q80" s="14"/>
      <c r="R80" s="17" t="s">
        <v>46</v>
      </c>
      <c r="S80" s="7">
        <v>200000</v>
      </c>
      <c r="T80" s="7">
        <f>S80*$T$6</f>
        <v>2000</v>
      </c>
      <c r="U80" s="7">
        <v>198000</v>
      </c>
      <c r="V80" s="24" t="s">
        <v>7</v>
      </c>
    </row>
    <row r="81" spans="1:23" x14ac:dyDescent="0.25">
      <c r="A81" s="65">
        <v>57808</v>
      </c>
      <c r="B81" s="55" t="s">
        <v>179</v>
      </c>
      <c r="C81" s="81">
        <v>45101</v>
      </c>
      <c r="D81" s="28">
        <v>1</v>
      </c>
      <c r="E81" s="7">
        <f>O80</f>
        <v>288666</v>
      </c>
      <c r="F81" s="7"/>
      <c r="G81" s="7"/>
      <c r="H81" s="7"/>
      <c r="I81" s="7"/>
      <c r="J81" s="7"/>
      <c r="K81" s="7"/>
      <c r="L81" s="7"/>
      <c r="M81" s="7"/>
      <c r="N81" s="7"/>
      <c r="O81" s="7"/>
      <c r="P81" s="41">
        <f>E81</f>
        <v>288666</v>
      </c>
      <c r="Q81" s="14"/>
      <c r="R81" s="17" t="s">
        <v>54</v>
      </c>
      <c r="S81" s="7">
        <v>500000</v>
      </c>
      <c r="T81" s="7">
        <v>0</v>
      </c>
      <c r="U81" s="7">
        <v>500000</v>
      </c>
      <c r="V81" s="24" t="s">
        <v>51</v>
      </c>
    </row>
    <row r="82" spans="1:23" x14ac:dyDescent="0.25">
      <c r="A82" s="65">
        <v>57808</v>
      </c>
      <c r="B82" s="58"/>
      <c r="C82" s="81">
        <v>45238</v>
      </c>
      <c r="D82" s="28">
        <v>10</v>
      </c>
      <c r="E82" s="7">
        <v>956018</v>
      </c>
      <c r="F82" s="7">
        <v>109428</v>
      </c>
      <c r="G82" s="7">
        <f>ROUND(E82-F82,)</f>
        <v>846590</v>
      </c>
      <c r="H82" s="7">
        <f>ROUND(G82*H6,0)</f>
        <v>152386</v>
      </c>
      <c r="I82" s="7">
        <f>G82+H82</f>
        <v>998976</v>
      </c>
      <c r="J82" s="7">
        <f>ROUND(G82*$J$6,)</f>
        <v>8466</v>
      </c>
      <c r="K82" s="7">
        <f>ROUND(G82*$K$6,)</f>
        <v>42330</v>
      </c>
      <c r="L82" s="7">
        <f>G82*10%</f>
        <v>84659</v>
      </c>
      <c r="M82" s="7">
        <f>ROUND(G82*$M$6,)</f>
        <v>84659</v>
      </c>
      <c r="N82" s="7">
        <v>0</v>
      </c>
      <c r="O82" s="41">
        <f>H82</f>
        <v>152386</v>
      </c>
      <c r="P82" s="7">
        <f>ROUND(I82-SUM(J82:O82),0)</f>
        <v>626476</v>
      </c>
      <c r="Q82" s="14"/>
      <c r="R82" s="17" t="s">
        <v>55</v>
      </c>
      <c r="S82" s="7">
        <v>263504</v>
      </c>
      <c r="T82" s="7">
        <v>0</v>
      </c>
      <c r="U82" s="7">
        <v>263504</v>
      </c>
      <c r="V82" s="24" t="s">
        <v>52</v>
      </c>
    </row>
    <row r="83" spans="1:23" x14ac:dyDescent="0.25">
      <c r="A83" s="65">
        <v>57808</v>
      </c>
      <c r="B83" s="55" t="s">
        <v>179</v>
      </c>
      <c r="C83" s="81"/>
      <c r="D83" s="28">
        <v>10</v>
      </c>
      <c r="E83" s="7">
        <f>O82</f>
        <v>152386</v>
      </c>
      <c r="F83" s="7"/>
      <c r="G83" s="7"/>
      <c r="H83" s="7"/>
      <c r="I83" s="7"/>
      <c r="J83" s="7"/>
      <c r="K83" s="7"/>
      <c r="L83" s="7"/>
      <c r="M83" s="7"/>
      <c r="N83" s="7"/>
      <c r="O83" s="7"/>
      <c r="P83" s="41">
        <f>E83</f>
        <v>152386</v>
      </c>
      <c r="Q83" s="14"/>
      <c r="R83" s="17" t="s">
        <v>56</v>
      </c>
      <c r="S83" s="7">
        <v>288666</v>
      </c>
      <c r="T83" s="7"/>
      <c r="U83" s="7">
        <v>288666</v>
      </c>
      <c r="V83" s="24" t="s">
        <v>53</v>
      </c>
    </row>
    <row r="84" spans="1:23" x14ac:dyDescent="0.25">
      <c r="A84" s="65"/>
      <c r="B84" s="58" t="s">
        <v>152</v>
      </c>
      <c r="C84" s="81"/>
      <c r="D84" s="30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14"/>
      <c r="R84" s="17" t="s">
        <v>95</v>
      </c>
      <c r="S84" s="7">
        <v>626476</v>
      </c>
      <c r="T84" s="7"/>
      <c r="U84" s="7">
        <v>626476</v>
      </c>
      <c r="V84" s="24" t="s">
        <v>93</v>
      </c>
    </row>
    <row r="85" spans="1:23" x14ac:dyDescent="0.25">
      <c r="A85" s="65"/>
      <c r="B85" s="58" t="s">
        <v>152</v>
      </c>
      <c r="C85" s="81"/>
      <c r="D85" s="30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14"/>
      <c r="R85" s="17" t="s">
        <v>96</v>
      </c>
      <c r="S85" s="7">
        <v>152386</v>
      </c>
      <c r="T85" s="7"/>
      <c r="U85" s="7">
        <v>152386</v>
      </c>
      <c r="V85" s="24" t="s">
        <v>94</v>
      </c>
    </row>
    <row r="86" spans="1:23" x14ac:dyDescent="0.25">
      <c r="A86" s="65"/>
      <c r="B86" s="58" t="s">
        <v>152</v>
      </c>
      <c r="C86" s="81"/>
      <c r="D86" s="30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14"/>
      <c r="R86" s="17"/>
      <c r="S86" s="7"/>
      <c r="T86" s="7"/>
      <c r="U86" s="7">
        <v>49500</v>
      </c>
      <c r="V86" s="24" t="s">
        <v>133</v>
      </c>
    </row>
    <row r="87" spans="1:23" x14ac:dyDescent="0.25">
      <c r="A87" s="66"/>
      <c r="B87" s="57" t="s">
        <v>152</v>
      </c>
      <c r="C87" s="78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45">
        <f>A88</f>
        <v>59278</v>
      </c>
      <c r="R87" s="13"/>
      <c r="S87" s="13"/>
      <c r="T87" s="13"/>
      <c r="U87" s="13"/>
      <c r="V87" s="23"/>
    </row>
    <row r="88" spans="1:23" ht="42" x14ac:dyDescent="0.25">
      <c r="A88" s="67">
        <v>59278</v>
      </c>
      <c r="B88" s="58" t="s">
        <v>191</v>
      </c>
      <c r="C88" s="79">
        <v>45183</v>
      </c>
      <c r="D88" s="16">
        <v>5</v>
      </c>
      <c r="E88" s="17">
        <v>571407</v>
      </c>
      <c r="F88" s="17">
        <v>17982</v>
      </c>
      <c r="G88" s="17">
        <f>ROUND(E88-F88,)</f>
        <v>553425</v>
      </c>
      <c r="H88" s="17">
        <f>G88*18%</f>
        <v>99616.5</v>
      </c>
      <c r="I88" s="17">
        <f>G88+H88</f>
        <v>653041.5</v>
      </c>
      <c r="J88" s="17">
        <f>ROUND(G88*$J$6,)</f>
        <v>5534</v>
      </c>
      <c r="K88" s="17">
        <f>ROUND(G88*$K$6,)</f>
        <v>27671</v>
      </c>
      <c r="L88" s="17">
        <f>ROUND(G88*$L$6,)</f>
        <v>27671</v>
      </c>
      <c r="M88" s="17">
        <f>ROUND(G88*$M$6,)</f>
        <v>55343</v>
      </c>
      <c r="N88" s="17">
        <v>80538</v>
      </c>
      <c r="O88" s="42">
        <f>H88</f>
        <v>99616.5</v>
      </c>
      <c r="P88" s="17">
        <f>ROUND(I88-SUM(J88:O88),0)</f>
        <v>356668</v>
      </c>
      <c r="Q88" s="14"/>
      <c r="R88" s="17" t="s">
        <v>89</v>
      </c>
      <c r="S88" s="7">
        <v>356668</v>
      </c>
      <c r="T88" s="17">
        <v>0</v>
      </c>
      <c r="U88" s="17">
        <v>356668</v>
      </c>
      <c r="V88" s="29" t="s">
        <v>88</v>
      </c>
    </row>
    <row r="89" spans="1:23" x14ac:dyDescent="0.25">
      <c r="A89" s="67">
        <v>59278</v>
      </c>
      <c r="B89" s="55" t="s">
        <v>179</v>
      </c>
      <c r="C89" s="79">
        <v>45218</v>
      </c>
      <c r="D89" s="18">
        <v>5</v>
      </c>
      <c r="E89" s="17">
        <v>99617</v>
      </c>
      <c r="F89" s="17"/>
      <c r="G89" s="17">
        <f>E89-F89</f>
        <v>99617</v>
      </c>
      <c r="H89" s="17">
        <v>0</v>
      </c>
      <c r="I89" s="17">
        <f>G89+H89</f>
        <v>99617</v>
      </c>
      <c r="J89" s="17">
        <v>0</v>
      </c>
      <c r="K89" s="17"/>
      <c r="L89" s="17"/>
      <c r="M89" s="17"/>
      <c r="N89" s="17"/>
      <c r="O89" s="17"/>
      <c r="P89" s="42">
        <f>I89-SUM(J89:O89)</f>
        <v>99617</v>
      </c>
      <c r="Q89" s="14"/>
      <c r="R89" s="17" t="s">
        <v>109</v>
      </c>
      <c r="S89" s="7">
        <v>356669</v>
      </c>
      <c r="T89" s="7"/>
      <c r="U89" s="7">
        <v>99617</v>
      </c>
      <c r="V89" s="24" t="s">
        <v>97</v>
      </c>
    </row>
    <row r="90" spans="1:23" x14ac:dyDescent="0.25">
      <c r="A90" s="67">
        <v>59278</v>
      </c>
      <c r="B90" s="58"/>
      <c r="C90" s="79">
        <v>45234</v>
      </c>
      <c r="D90" s="16">
        <v>8</v>
      </c>
      <c r="E90" s="17">
        <v>641706</v>
      </c>
      <c r="F90" s="17">
        <v>0</v>
      </c>
      <c r="G90" s="17">
        <f>ROUND(E90-F90,)</f>
        <v>641706</v>
      </c>
      <c r="H90" s="17">
        <f>G90*18%</f>
        <v>115507.08</v>
      </c>
      <c r="I90" s="17">
        <f>G90+H90</f>
        <v>757213.08</v>
      </c>
      <c r="J90" s="17">
        <f>ROUND(G90*$J$6,)</f>
        <v>6417</v>
      </c>
      <c r="K90" s="17">
        <f>ROUND(G90*$K$6,)</f>
        <v>32085</v>
      </c>
      <c r="L90" s="17">
        <f>G90*10%</f>
        <v>64170.600000000006</v>
      </c>
      <c r="M90" s="17">
        <f>ROUND(G90*$M$6,)</f>
        <v>64171</v>
      </c>
      <c r="N90" s="17">
        <v>129832.5</v>
      </c>
      <c r="O90" s="42">
        <f>H90</f>
        <v>115507.08</v>
      </c>
      <c r="P90" s="17">
        <f>ROUND(I90-SUM(J90:O90),0)</f>
        <v>345030</v>
      </c>
      <c r="Q90" s="14"/>
      <c r="R90" s="17" t="s">
        <v>110</v>
      </c>
      <c r="S90" s="7">
        <v>356670</v>
      </c>
      <c r="T90" s="7"/>
      <c r="U90" s="7">
        <v>345030</v>
      </c>
      <c r="V90" s="24" t="s">
        <v>115</v>
      </c>
    </row>
    <row r="91" spans="1:23" x14ac:dyDescent="0.25">
      <c r="A91" s="67">
        <v>59278</v>
      </c>
      <c r="B91" s="55" t="s">
        <v>179</v>
      </c>
      <c r="C91" s="79"/>
      <c r="D91" s="18">
        <v>8</v>
      </c>
      <c r="E91" s="17">
        <f>O90</f>
        <v>115507.08</v>
      </c>
      <c r="F91" s="17"/>
      <c r="G91" s="17">
        <f>E91-F91</f>
        <v>115507.08</v>
      </c>
      <c r="H91" s="17">
        <v>0</v>
      </c>
      <c r="I91" s="17">
        <f>G91+H91</f>
        <v>115507.08</v>
      </c>
      <c r="J91" s="17">
        <v>0</v>
      </c>
      <c r="K91" s="17"/>
      <c r="L91" s="17"/>
      <c r="M91" s="17"/>
      <c r="N91" s="17"/>
      <c r="O91" s="17"/>
      <c r="P91" s="42">
        <f>I91-SUM(J91:O91)</f>
        <v>115507.08</v>
      </c>
      <c r="Q91" s="14"/>
      <c r="R91" s="7"/>
      <c r="S91" s="7"/>
      <c r="T91" s="7"/>
      <c r="U91" s="7">
        <v>115507</v>
      </c>
      <c r="V91" s="24" t="s">
        <v>118</v>
      </c>
    </row>
    <row r="92" spans="1:23" x14ac:dyDescent="0.25">
      <c r="A92" s="67">
        <v>59278</v>
      </c>
      <c r="B92" s="58" t="s">
        <v>152</v>
      </c>
      <c r="C92" s="79"/>
      <c r="D92" s="18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46"/>
      <c r="Q92" s="14"/>
      <c r="R92" s="7"/>
      <c r="S92" s="7"/>
      <c r="T92" s="7"/>
      <c r="U92" s="7">
        <v>49500</v>
      </c>
      <c r="V92" s="24" t="s">
        <v>132</v>
      </c>
    </row>
    <row r="93" spans="1:23" x14ac:dyDescent="0.25">
      <c r="A93" s="66"/>
      <c r="B93" s="57" t="s">
        <v>152</v>
      </c>
      <c r="C93" s="78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45">
        <f>A94</f>
        <v>61603</v>
      </c>
      <c r="R93" s="13"/>
      <c r="S93" s="13"/>
      <c r="T93" s="13"/>
      <c r="U93" s="13"/>
      <c r="V93" s="23"/>
    </row>
    <row r="94" spans="1:23" ht="42" x14ac:dyDescent="0.25">
      <c r="A94" s="65">
        <v>61603</v>
      </c>
      <c r="B94" s="58" t="s">
        <v>192</v>
      </c>
      <c r="C94" s="79">
        <v>45327</v>
      </c>
      <c r="D94" s="18">
        <v>16</v>
      </c>
      <c r="E94" s="17">
        <v>1461089</v>
      </c>
      <c r="F94" s="17">
        <v>9760</v>
      </c>
      <c r="G94" s="17">
        <f>ROUND(E94-F94,)</f>
        <v>1451329</v>
      </c>
      <c r="H94" s="17">
        <f>G94*18%</f>
        <v>261239.22</v>
      </c>
      <c r="I94" s="17">
        <f>G94+H94</f>
        <v>1712568.22</v>
      </c>
      <c r="J94" s="17">
        <f>ROUND(G94*$J$6,)</f>
        <v>14513</v>
      </c>
      <c r="K94" s="17">
        <f>ROUND(G94*$K$6,)</f>
        <v>72566</v>
      </c>
      <c r="L94" s="17">
        <f>G94*10%</f>
        <v>145132.9</v>
      </c>
      <c r="M94" s="17">
        <f>ROUND(G94*$M$6,)</f>
        <v>145133</v>
      </c>
      <c r="N94" s="17">
        <v>68931</v>
      </c>
      <c r="O94" s="42">
        <f>H94</f>
        <v>261239.22</v>
      </c>
      <c r="P94" s="17">
        <f>ROUND(I94-SUM(J94:O94),0)</f>
        <v>1005053</v>
      </c>
      <c r="Q94" s="14"/>
      <c r="R94" s="17" t="s">
        <v>99</v>
      </c>
      <c r="S94" s="7">
        <v>100000</v>
      </c>
      <c r="T94" s="7">
        <f>S94*2%</f>
        <v>2000</v>
      </c>
      <c r="U94" s="7">
        <v>98000</v>
      </c>
      <c r="V94" s="24" t="s">
        <v>98</v>
      </c>
      <c r="W94" s="2" t="s">
        <v>138</v>
      </c>
    </row>
    <row r="95" spans="1:23" x14ac:dyDescent="0.25">
      <c r="A95" s="65">
        <v>61603</v>
      </c>
      <c r="B95" s="55" t="s">
        <v>179</v>
      </c>
      <c r="C95" s="79"/>
      <c r="D95" s="18">
        <v>16</v>
      </c>
      <c r="E95" s="17">
        <f>O94</f>
        <v>261239.22</v>
      </c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42">
        <f>E95</f>
        <v>261239.22</v>
      </c>
      <c r="Q95" s="14"/>
      <c r="R95" s="17"/>
      <c r="S95" s="7"/>
      <c r="T95" s="7"/>
      <c r="U95" s="7">
        <v>600000</v>
      </c>
      <c r="V95" s="24" t="s">
        <v>119</v>
      </c>
    </row>
    <row r="96" spans="1:23" x14ac:dyDescent="0.25">
      <c r="A96" s="65">
        <v>61603</v>
      </c>
      <c r="B96" s="58"/>
      <c r="C96" s="79">
        <v>45430</v>
      </c>
      <c r="D96" s="18">
        <v>2</v>
      </c>
      <c r="E96" s="17">
        <v>1620903</v>
      </c>
      <c r="F96" s="17">
        <v>78022</v>
      </c>
      <c r="G96" s="17">
        <f>ROUND(E96-F96,)</f>
        <v>1542881</v>
      </c>
      <c r="H96" s="17">
        <f>G96*18%</f>
        <v>277718.58</v>
      </c>
      <c r="I96" s="17">
        <f>G96+H96</f>
        <v>1820599.58</v>
      </c>
      <c r="J96" s="17">
        <f>ROUND(G96*$J$6,)</f>
        <v>15429</v>
      </c>
      <c r="K96" s="17">
        <f>ROUND(G96*$K$6,)</f>
        <v>77144</v>
      </c>
      <c r="L96" s="17">
        <f>G96*10%</f>
        <v>154288.1</v>
      </c>
      <c r="M96" s="17">
        <f>ROUND(G96*$M$6,)</f>
        <v>154288</v>
      </c>
      <c r="N96" s="17">
        <v>10012</v>
      </c>
      <c r="O96" s="42">
        <f>H96</f>
        <v>277718.58</v>
      </c>
      <c r="P96" s="17">
        <f>ROUND(I96-SUM(J96:O96),0)</f>
        <v>1131720</v>
      </c>
      <c r="Q96" s="14"/>
      <c r="R96" s="17"/>
      <c r="S96" s="7"/>
      <c r="T96" s="7"/>
      <c r="U96" s="7">
        <v>200000</v>
      </c>
      <c r="V96" s="24" t="s">
        <v>121</v>
      </c>
    </row>
    <row r="97" spans="1:23" x14ac:dyDescent="0.25">
      <c r="A97" s="65">
        <v>61603</v>
      </c>
      <c r="B97" s="55" t="s">
        <v>179</v>
      </c>
      <c r="C97" s="79"/>
      <c r="D97" s="18">
        <v>2</v>
      </c>
      <c r="E97" s="17">
        <f>O96</f>
        <v>277718.58</v>
      </c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42">
        <f>E97</f>
        <v>277718.58</v>
      </c>
      <c r="Q97" s="14"/>
      <c r="R97" s="17"/>
      <c r="S97" s="7"/>
      <c r="T97" s="7"/>
      <c r="U97" s="7">
        <v>277718</v>
      </c>
      <c r="V97" s="24" t="s">
        <v>128</v>
      </c>
      <c r="W97" s="50"/>
    </row>
    <row r="98" spans="1:23" x14ac:dyDescent="0.25">
      <c r="A98" s="65">
        <v>61603</v>
      </c>
      <c r="B98" s="58" t="s">
        <v>152</v>
      </c>
      <c r="C98" s="79"/>
      <c r="D98" s="18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44"/>
      <c r="Q98" s="14"/>
      <c r="R98" s="17"/>
      <c r="S98" s="7"/>
      <c r="T98" s="7"/>
      <c r="U98" s="7">
        <v>600000</v>
      </c>
      <c r="V98" s="24" t="s">
        <v>127</v>
      </c>
      <c r="W98" s="50"/>
    </row>
    <row r="99" spans="1:23" x14ac:dyDescent="0.25">
      <c r="A99" s="65">
        <v>61603</v>
      </c>
      <c r="B99" s="58" t="s">
        <v>152</v>
      </c>
      <c r="C99" s="79"/>
      <c r="D99" s="18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44"/>
      <c r="Q99" s="14"/>
      <c r="R99" s="17"/>
      <c r="S99" s="7"/>
      <c r="T99" s="7"/>
      <c r="U99" s="7">
        <v>531720</v>
      </c>
      <c r="V99" s="24" t="s">
        <v>129</v>
      </c>
      <c r="W99" s="50"/>
    </row>
    <row r="100" spans="1:23" x14ac:dyDescent="0.25">
      <c r="A100" s="65">
        <v>61603</v>
      </c>
      <c r="B100" s="58" t="s">
        <v>152</v>
      </c>
      <c r="C100" s="79"/>
      <c r="D100" s="18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44"/>
      <c r="Q100" s="14"/>
      <c r="R100" s="17"/>
      <c r="S100" s="7"/>
      <c r="T100" s="7"/>
      <c r="U100" s="7">
        <v>99000</v>
      </c>
      <c r="V100" s="24" t="s">
        <v>149</v>
      </c>
      <c r="W100" s="50"/>
    </row>
    <row r="101" spans="1:23" x14ac:dyDescent="0.25">
      <c r="A101" s="65">
        <v>61603</v>
      </c>
      <c r="B101" s="58" t="s">
        <v>152</v>
      </c>
      <c r="C101" s="79"/>
      <c r="D101" s="18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44"/>
      <c r="Q101" s="14"/>
      <c r="R101" s="17"/>
      <c r="S101" s="7"/>
      <c r="T101" s="7"/>
      <c r="U101" s="7">
        <v>148500</v>
      </c>
      <c r="V101" s="24" t="s">
        <v>150</v>
      </c>
      <c r="W101" s="50"/>
    </row>
    <row r="102" spans="1:23" x14ac:dyDescent="0.25">
      <c r="A102" s="65">
        <v>61603</v>
      </c>
      <c r="B102" s="58"/>
      <c r="C102" s="79"/>
      <c r="D102" s="18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44"/>
      <c r="Q102" s="14"/>
      <c r="R102" s="17"/>
      <c r="S102" s="7"/>
      <c r="T102" s="7"/>
      <c r="U102" s="7">
        <v>99000</v>
      </c>
      <c r="V102" s="24" t="s">
        <v>157</v>
      </c>
      <c r="W102" s="50"/>
    </row>
    <row r="103" spans="1:23" x14ac:dyDescent="0.25">
      <c r="A103" s="66"/>
      <c r="B103" s="57" t="s">
        <v>152</v>
      </c>
      <c r="C103" s="78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45">
        <f>A104</f>
        <v>61837</v>
      </c>
      <c r="R103" s="13"/>
      <c r="S103" s="13"/>
      <c r="T103" s="13"/>
      <c r="U103" s="13"/>
      <c r="V103" s="23"/>
    </row>
    <row r="104" spans="1:23" ht="42" x14ac:dyDescent="0.25">
      <c r="A104" s="65">
        <v>61837</v>
      </c>
      <c r="B104" s="58" t="s">
        <v>193</v>
      </c>
      <c r="C104" s="79">
        <v>45313</v>
      </c>
      <c r="D104" s="16">
        <v>13</v>
      </c>
      <c r="E104" s="17">
        <v>854838</v>
      </c>
      <c r="F104" s="17">
        <v>23262</v>
      </c>
      <c r="G104" s="17">
        <f>ROUND(E104-F104,)</f>
        <v>831576</v>
      </c>
      <c r="H104" s="17">
        <f>G104*18%</f>
        <v>149683.68</v>
      </c>
      <c r="I104" s="17">
        <f>G104+H104</f>
        <v>981259.67999999993</v>
      </c>
      <c r="J104" s="17">
        <f>ROUND(G104*$J$6,)</f>
        <v>8316</v>
      </c>
      <c r="K104" s="17">
        <f>ROUND(G104*$K$6,)</f>
        <v>41579</v>
      </c>
      <c r="L104" s="17">
        <f>G104*10%</f>
        <v>83157.600000000006</v>
      </c>
      <c r="M104" s="17">
        <f>ROUND(G104*$M$6,)</f>
        <v>83158</v>
      </c>
      <c r="N104" s="17">
        <v>364686</v>
      </c>
      <c r="O104" s="42">
        <f>H104</f>
        <v>149683.68</v>
      </c>
      <c r="P104" s="17">
        <f>ROUND(I104-SUM(J104:O104),0)</f>
        <v>250679</v>
      </c>
      <c r="Q104" s="14"/>
      <c r="R104" s="17" t="s">
        <v>110</v>
      </c>
      <c r="S104" s="7">
        <v>250679</v>
      </c>
      <c r="T104" s="7"/>
      <c r="U104" s="7">
        <v>250679</v>
      </c>
      <c r="V104" s="24" t="s">
        <v>117</v>
      </c>
    </row>
    <row r="105" spans="1:23" x14ac:dyDescent="0.25">
      <c r="A105" s="65">
        <v>61837</v>
      </c>
      <c r="B105" s="55" t="s">
        <v>179</v>
      </c>
      <c r="C105" s="79"/>
      <c r="D105" s="18">
        <v>13</v>
      </c>
      <c r="E105" s="17">
        <f>O104</f>
        <v>149683.68</v>
      </c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42">
        <f>E105</f>
        <v>149683.68</v>
      </c>
      <c r="Q105" s="14"/>
      <c r="R105" s="17"/>
      <c r="S105" s="7"/>
      <c r="T105" s="7"/>
      <c r="U105" s="7">
        <v>149684</v>
      </c>
      <c r="V105" s="24" t="s">
        <v>123</v>
      </c>
    </row>
    <row r="106" spans="1:23" x14ac:dyDescent="0.25">
      <c r="A106" s="65">
        <v>61837</v>
      </c>
      <c r="B106" s="58"/>
      <c r="C106" s="79">
        <v>45504</v>
      </c>
      <c r="D106" s="16">
        <v>3</v>
      </c>
      <c r="E106" s="17">
        <v>981438</v>
      </c>
      <c r="F106" s="17">
        <v>0</v>
      </c>
      <c r="G106" s="17">
        <f>ROUND(E106-F106,)</f>
        <v>981438</v>
      </c>
      <c r="H106" s="17">
        <f>G106*18%</f>
        <v>176658.84</v>
      </c>
      <c r="I106" s="17">
        <f>G106+H106</f>
        <v>1158096.8400000001</v>
      </c>
      <c r="J106" s="17">
        <f>ROUND(G106*$J$6,)</f>
        <v>9814</v>
      </c>
      <c r="K106" s="17">
        <f>ROUND(G106*$K$6,)</f>
        <v>49072</v>
      </c>
      <c r="L106" s="17">
        <f>G106*10%</f>
        <v>98143.8</v>
      </c>
      <c r="M106" s="17">
        <f>ROUND(G106*$M$6,)</f>
        <v>98144</v>
      </c>
      <c r="N106" s="17">
        <v>762830</v>
      </c>
      <c r="O106" s="42">
        <f>H106</f>
        <v>176658.84</v>
      </c>
      <c r="P106" s="17">
        <f>ROUND(I106-SUM(J106:O106),0)</f>
        <v>-36566</v>
      </c>
      <c r="Q106" s="14"/>
      <c r="R106" s="17"/>
      <c r="S106" s="7"/>
      <c r="T106" s="7"/>
      <c r="U106" s="7">
        <v>198000</v>
      </c>
      <c r="V106" s="24" t="s">
        <v>130</v>
      </c>
    </row>
    <row r="107" spans="1:23" x14ac:dyDescent="0.25">
      <c r="A107" s="65">
        <v>61837</v>
      </c>
      <c r="B107" s="55" t="s">
        <v>179</v>
      </c>
      <c r="C107" s="79"/>
      <c r="D107" s="18"/>
      <c r="E107" s="17">
        <f>O106</f>
        <v>176658.84</v>
      </c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42">
        <f>E107</f>
        <v>176658.84</v>
      </c>
      <c r="Q107" s="14"/>
      <c r="R107" s="17"/>
      <c r="S107" s="7"/>
      <c r="T107" s="7"/>
      <c r="U107" s="7">
        <v>297000</v>
      </c>
      <c r="V107" s="24" t="s">
        <v>131</v>
      </c>
    </row>
    <row r="108" spans="1:23" x14ac:dyDescent="0.25">
      <c r="A108" s="65">
        <v>61837</v>
      </c>
      <c r="B108" s="58" t="s">
        <v>152</v>
      </c>
      <c r="C108" s="79"/>
      <c r="D108" s="18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42"/>
      <c r="Q108" s="14"/>
      <c r="R108" s="17"/>
      <c r="S108" s="7"/>
      <c r="T108" s="7"/>
      <c r="U108" s="7">
        <v>74250</v>
      </c>
      <c r="V108" s="24" t="s">
        <v>148</v>
      </c>
    </row>
    <row r="109" spans="1:23" x14ac:dyDescent="0.25">
      <c r="B109" s="57" t="s">
        <v>152</v>
      </c>
      <c r="C109" s="78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21">
        <f>A110</f>
        <v>62930</v>
      </c>
      <c r="R109" s="13"/>
      <c r="S109" s="13"/>
      <c r="T109" s="13"/>
      <c r="U109" s="13"/>
      <c r="V109" s="23"/>
    </row>
    <row r="110" spans="1:23" ht="42" x14ac:dyDescent="0.25">
      <c r="A110" s="66">
        <v>62930</v>
      </c>
      <c r="B110" s="58" t="s">
        <v>194</v>
      </c>
      <c r="C110" s="79">
        <v>45364</v>
      </c>
      <c r="D110" s="18">
        <v>17</v>
      </c>
      <c r="E110" s="17">
        <v>750039</v>
      </c>
      <c r="F110" s="17">
        <v>6440</v>
      </c>
      <c r="G110" s="17">
        <f>ROUND(E110-F110,)</f>
        <v>743599</v>
      </c>
      <c r="H110" s="17">
        <f>G110*18%</f>
        <v>133847.82</v>
      </c>
      <c r="I110" s="17">
        <f>G110+H110</f>
        <v>877446.82000000007</v>
      </c>
      <c r="J110" s="17">
        <f>ROUND(G110*$J$6,)</f>
        <v>7436</v>
      </c>
      <c r="K110" s="17">
        <f>ROUND(G110*$K$6,)</f>
        <v>37180</v>
      </c>
      <c r="L110" s="17">
        <f>G110*10%</f>
        <v>74359.900000000009</v>
      </c>
      <c r="M110" s="17">
        <f>ROUND(G110*$M$6,)</f>
        <v>74360</v>
      </c>
      <c r="N110" s="17">
        <v>16108</v>
      </c>
      <c r="O110" s="42">
        <f>H110</f>
        <v>133847.82</v>
      </c>
      <c r="P110" s="17">
        <f>ROUND(I110-SUM(J110:O110),0)</f>
        <v>534155</v>
      </c>
      <c r="Q110" s="14"/>
      <c r="R110" s="17"/>
      <c r="S110" s="7"/>
      <c r="T110" s="7"/>
      <c r="U110" s="7">
        <v>300000</v>
      </c>
      <c r="V110" s="24" t="s">
        <v>125</v>
      </c>
    </row>
    <row r="111" spans="1:23" x14ac:dyDescent="0.25">
      <c r="A111" s="66">
        <v>62930</v>
      </c>
      <c r="B111" s="55" t="s">
        <v>179</v>
      </c>
      <c r="C111" s="79"/>
      <c r="D111" s="18">
        <v>17</v>
      </c>
      <c r="E111" s="17">
        <f>O110</f>
        <v>133847.82</v>
      </c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42">
        <f>E111</f>
        <v>133847.82</v>
      </c>
      <c r="Q111" s="14"/>
      <c r="R111" s="17"/>
      <c r="S111" s="7"/>
      <c r="T111" s="7"/>
      <c r="U111" s="7">
        <v>234155</v>
      </c>
      <c r="V111" s="24" t="s">
        <v>126</v>
      </c>
    </row>
    <row r="112" spans="1:23" x14ac:dyDescent="0.25">
      <c r="A112" s="65"/>
      <c r="B112" s="58" t="s">
        <v>152</v>
      </c>
      <c r="C112" s="79"/>
      <c r="D112" s="18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42"/>
      <c r="Q112" s="14"/>
      <c r="R112" s="17"/>
      <c r="S112" s="7"/>
      <c r="T112" s="7"/>
      <c r="U112" s="7">
        <v>133848</v>
      </c>
      <c r="V112" s="24" t="s">
        <v>145</v>
      </c>
    </row>
    <row r="113" spans="1:22" x14ac:dyDescent="0.25">
      <c r="B113" s="57" t="s">
        <v>152</v>
      </c>
      <c r="C113" s="78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45">
        <f>A114</f>
        <v>62985</v>
      </c>
      <c r="R113" s="13"/>
      <c r="S113" s="13"/>
      <c r="T113" s="13"/>
      <c r="U113" s="13"/>
      <c r="V113" s="23"/>
    </row>
    <row r="114" spans="1:22" ht="42" x14ac:dyDescent="0.25">
      <c r="A114" s="66">
        <v>62985</v>
      </c>
      <c r="B114" s="58" t="s">
        <v>195</v>
      </c>
      <c r="C114" s="79">
        <v>45332</v>
      </c>
      <c r="D114" s="18">
        <v>15</v>
      </c>
      <c r="E114" s="17">
        <v>123511</v>
      </c>
      <c r="F114" s="17"/>
      <c r="G114" s="17">
        <f>ROUND(E114-F114,)</f>
        <v>123511</v>
      </c>
      <c r="H114" s="17">
        <f>G114*18%</f>
        <v>22231.98</v>
      </c>
      <c r="I114" s="17">
        <f>G114+H114</f>
        <v>145742.98000000001</v>
      </c>
      <c r="J114" s="17">
        <f>ROUND(G114*$J$6,)</f>
        <v>1235</v>
      </c>
      <c r="K114" s="17">
        <f>ROUND(G114*$K$6,)</f>
        <v>6176</v>
      </c>
      <c r="L114" s="17">
        <f>G114*10%</f>
        <v>12351.1</v>
      </c>
      <c r="M114" s="17">
        <f>ROUND(G114*$M$6,)</f>
        <v>12351</v>
      </c>
      <c r="N114" s="17">
        <v>34152</v>
      </c>
      <c r="O114" s="42">
        <f>H114</f>
        <v>22231.98</v>
      </c>
      <c r="P114" s="17">
        <f>ROUND(I114-SUM(J114:O114),0)</f>
        <v>57246</v>
      </c>
      <c r="Q114" s="14"/>
      <c r="R114" s="17"/>
      <c r="S114" s="7"/>
      <c r="T114" s="7"/>
      <c r="U114" s="7">
        <v>57246</v>
      </c>
      <c r="V114" s="24" t="s">
        <v>146</v>
      </c>
    </row>
    <row r="115" spans="1:22" x14ac:dyDescent="0.25">
      <c r="A115" s="66">
        <v>62985</v>
      </c>
      <c r="B115" s="55" t="s">
        <v>179</v>
      </c>
      <c r="C115" s="79"/>
      <c r="D115" s="18">
        <v>15</v>
      </c>
      <c r="E115" s="17">
        <f>O114</f>
        <v>22231.98</v>
      </c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42">
        <f>E115</f>
        <v>22231.98</v>
      </c>
      <c r="Q115" s="14"/>
      <c r="R115" s="7"/>
      <c r="S115" s="7"/>
      <c r="T115" s="7"/>
      <c r="U115" s="7">
        <v>22232</v>
      </c>
      <c r="V115" s="24" t="s">
        <v>147</v>
      </c>
    </row>
    <row r="116" spans="1:22" x14ac:dyDescent="0.25">
      <c r="B116" s="57" t="s">
        <v>152</v>
      </c>
      <c r="C116" s="78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21">
        <f>A117</f>
        <v>66352</v>
      </c>
      <c r="R116" s="13"/>
      <c r="S116" s="13"/>
      <c r="T116" s="13"/>
      <c r="U116" s="13"/>
      <c r="V116" s="23"/>
    </row>
    <row r="117" spans="1:22" ht="42" x14ac:dyDescent="0.25">
      <c r="A117" s="66">
        <v>66352</v>
      </c>
      <c r="B117" s="59" t="s">
        <v>155</v>
      </c>
      <c r="C117" s="82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9"/>
      <c r="R117" s="48"/>
      <c r="S117" s="48"/>
      <c r="T117" s="48"/>
      <c r="U117" s="48">
        <v>99000</v>
      </c>
      <c r="V117" s="24" t="s">
        <v>151</v>
      </c>
    </row>
    <row r="118" spans="1:22" x14ac:dyDescent="0.25">
      <c r="A118" s="68"/>
      <c r="B118" s="59"/>
      <c r="C118" s="82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9"/>
      <c r="R118" s="48"/>
      <c r="S118" s="48"/>
      <c r="T118" s="48"/>
      <c r="U118" s="48"/>
      <c r="V118" s="47"/>
    </row>
    <row r="119" spans="1:22" x14ac:dyDescent="0.25">
      <c r="A119" s="68"/>
      <c r="B119" s="59"/>
      <c r="C119" s="82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9"/>
      <c r="R119" s="48"/>
      <c r="S119" s="48"/>
      <c r="T119" s="48"/>
      <c r="U119" s="48"/>
      <c r="V119" s="47"/>
    </row>
    <row r="120" spans="1:22" ht="21.75" thickBot="1" x14ac:dyDescent="0.3">
      <c r="A120" s="69"/>
      <c r="B120" s="60"/>
      <c r="C120" s="83"/>
      <c r="D120" s="33"/>
      <c r="E120" s="34"/>
      <c r="F120" s="34"/>
      <c r="G120" s="34"/>
      <c r="H120" s="8"/>
      <c r="I120" s="8"/>
      <c r="J120" s="8"/>
      <c r="K120" s="8"/>
      <c r="L120" s="8"/>
      <c r="M120" s="8"/>
      <c r="N120" s="8"/>
      <c r="O120" s="8"/>
      <c r="P120" s="8"/>
      <c r="Q120" s="35"/>
      <c r="R120" s="8"/>
      <c r="S120" s="8"/>
      <c r="T120" s="8"/>
      <c r="U120" s="8"/>
      <c r="V120" s="8"/>
    </row>
    <row r="121" spans="1:22" x14ac:dyDescent="0.25">
      <c r="A121" s="70"/>
      <c r="B121" s="61"/>
      <c r="C121" s="84"/>
      <c r="D121" s="36"/>
      <c r="E121" s="36"/>
      <c r="F121" s="37"/>
      <c r="G121" s="36"/>
      <c r="H121" s="36"/>
      <c r="I121" s="36"/>
      <c r="J121" s="36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6"/>
    </row>
    <row r="122" spans="1:22" x14ac:dyDescent="0.25">
      <c r="A122" s="71"/>
      <c r="B122" s="55"/>
      <c r="C122" s="76"/>
      <c r="D122" s="7"/>
      <c r="E122" s="7"/>
      <c r="F122" s="7"/>
      <c r="G122" s="7"/>
      <c r="H122" s="7"/>
      <c r="I122" s="7"/>
      <c r="J122" s="31"/>
      <c r="K122" s="31"/>
      <c r="L122" s="31"/>
      <c r="M122" s="31"/>
      <c r="N122" s="31"/>
      <c r="O122" s="31"/>
      <c r="P122" s="7"/>
      <c r="Q122" s="7"/>
      <c r="R122" s="7"/>
      <c r="S122" s="7"/>
      <c r="T122" s="7"/>
      <c r="U122" s="7"/>
      <c r="V122" s="7"/>
    </row>
    <row r="123" spans="1:22" ht="21.75" thickBot="1" x14ac:dyDescent="0.3">
      <c r="A123" s="72"/>
      <c r="B123" s="53"/>
      <c r="C123" s="74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32"/>
      <c r="S123" s="9"/>
      <c r="T123" s="9"/>
      <c r="U123" s="32"/>
      <c r="V123" s="9"/>
    </row>
    <row r="125" spans="1:22" ht="21.75" thickBot="1" x14ac:dyDescent="0.3">
      <c r="I125" s="10"/>
      <c r="J125" s="11"/>
    </row>
    <row r="126" spans="1:22" ht="21.75" thickBot="1" x14ac:dyDescent="0.3">
      <c r="H126" s="96"/>
      <c r="I126" s="97"/>
      <c r="J126" s="98"/>
    </row>
    <row r="127" spans="1:22" ht="21.75" thickBot="1" x14ac:dyDescent="0.3">
      <c r="H127" s="89"/>
      <c r="I127" s="90"/>
      <c r="J127" s="91"/>
    </row>
    <row r="128" spans="1:22" x14ac:dyDescent="0.25">
      <c r="H128" s="92"/>
      <c r="I128" s="93"/>
      <c r="J128" s="86"/>
      <c r="K128" s="43"/>
    </row>
    <row r="129" spans="8:10" x14ac:dyDescent="0.25">
      <c r="H129" s="94"/>
      <c r="I129" s="95"/>
      <c r="J129" s="20"/>
    </row>
    <row r="130" spans="8:10" x14ac:dyDescent="0.25">
      <c r="H130" s="94"/>
      <c r="I130" s="95"/>
      <c r="J130" s="20"/>
    </row>
    <row r="131" spans="8:10" ht="21.75" thickBot="1" x14ac:dyDescent="0.3">
      <c r="H131" s="87"/>
      <c r="I131" s="88"/>
      <c r="J131" s="85"/>
    </row>
  </sheetData>
  <mergeCells count="6">
    <mergeCell ref="H131:I131"/>
    <mergeCell ref="H127:J127"/>
    <mergeCell ref="H128:I128"/>
    <mergeCell ref="H130:I130"/>
    <mergeCell ref="H126:J126"/>
    <mergeCell ref="H129:I129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2024-03-04T09:17:01Z</cp:lastPrinted>
  <dcterms:created xsi:type="dcterms:W3CDTF">2022-06-10T14:11:52Z</dcterms:created>
  <dcterms:modified xsi:type="dcterms:W3CDTF">2025-05-27T10:17:36Z</dcterms:modified>
</cp:coreProperties>
</file>