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inod engineering\"/>
    </mc:Choice>
  </mc:AlternateContent>
  <xr:revisionPtr revIDLastSave="0" documentId="13_ncr:1_{B0C72BB3-BEA2-4272-964C-6465B81BD5B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 (2)" sheetId="2" r:id="rId1"/>
    <sheet name="Sheet1" sheetId="1" r:id="rId2"/>
    <sheet name="Sheet2" sheetId="3" r:id="rId3"/>
  </sheets>
  <definedNames>
    <definedName name="_xlnm.Print_Area" localSheetId="1">Sheet1!$A$1:$U$70</definedName>
    <definedName name="_xlnm.Print_Area" localSheetId="0">'Sheet1 (2)'!$A$1:$W$65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45" i="2" l="1"/>
  <c r="T39" i="2"/>
  <c r="U39" i="2" s="1"/>
  <c r="T44" i="2" l="1"/>
  <c r="T58" i="2" l="1"/>
  <c r="T57" i="2"/>
  <c r="U57" i="2" s="1"/>
  <c r="T56" i="2"/>
  <c r="U56" i="2" s="1"/>
  <c r="T55" i="2"/>
  <c r="U55" i="2" s="1"/>
  <c r="G55" i="2"/>
  <c r="K55" i="2" s="1"/>
  <c r="Q54" i="2"/>
  <c r="T52" i="2"/>
  <c r="U52" i="2" s="1"/>
  <c r="M52" i="2"/>
  <c r="G52" i="2"/>
  <c r="K52" i="2" s="1"/>
  <c r="T51" i="2"/>
  <c r="U51" i="2" s="1"/>
  <c r="U50" i="2"/>
  <c r="G50" i="2"/>
  <c r="M50" i="2" s="1"/>
  <c r="Q49" i="2"/>
  <c r="T48" i="2"/>
  <c r="U48" i="2" s="1"/>
  <c r="T47" i="2"/>
  <c r="U47" i="2" s="1"/>
  <c r="G47" i="2"/>
  <c r="J47" i="2" s="1"/>
  <c r="Q46" i="2"/>
  <c r="T43" i="2"/>
  <c r="U43" i="2" s="1"/>
  <c r="G43" i="2"/>
  <c r="K43" i="2" s="1"/>
  <c r="T42" i="2"/>
  <c r="U42" i="2" s="1"/>
  <c r="T41" i="2"/>
  <c r="U41" i="2" s="1"/>
  <c r="G41" i="2"/>
  <c r="J41" i="2" s="1"/>
  <c r="Q40" i="2"/>
  <c r="T37" i="2"/>
  <c r="U37" i="2" s="1"/>
  <c r="T36" i="2"/>
  <c r="U36" i="2" s="1"/>
  <c r="T35" i="2"/>
  <c r="U35" i="2" s="1"/>
  <c r="G35" i="2"/>
  <c r="K35" i="2" s="1"/>
  <c r="Q34" i="2"/>
  <c r="G32" i="2"/>
  <c r="T30" i="2"/>
  <c r="U30" i="2" s="1"/>
  <c r="G30" i="2"/>
  <c r="K30" i="2" s="1"/>
  <c r="T29" i="2"/>
  <c r="U29" i="2" s="1"/>
  <c r="T28" i="2"/>
  <c r="U28" i="2" s="1"/>
  <c r="G28" i="2"/>
  <c r="J28" i="2" s="1"/>
  <c r="Q27" i="2"/>
  <c r="T25" i="2"/>
  <c r="T24" i="2"/>
  <c r="U24" i="2" s="1"/>
  <c r="O24" i="2"/>
  <c r="O65" i="2" s="1"/>
  <c r="L72" i="2" s="1"/>
  <c r="G24" i="2"/>
  <c r="K24" i="2" s="1"/>
  <c r="T23" i="2"/>
  <c r="U23" i="2" s="1"/>
  <c r="T22" i="2"/>
  <c r="U22" i="2" s="1"/>
  <c r="G22" i="2"/>
  <c r="J22" i="2" s="1"/>
  <c r="Q21" i="2"/>
  <c r="T20" i="2"/>
  <c r="U20" i="2" s="1"/>
  <c r="T19" i="2"/>
  <c r="U19" i="2" s="1"/>
  <c r="T18" i="2"/>
  <c r="U18" i="2" s="1"/>
  <c r="G18" i="2"/>
  <c r="M18" i="2" s="1"/>
  <c r="Q17" i="2"/>
  <c r="G14" i="2"/>
  <c r="J14" i="2" s="1"/>
  <c r="T13" i="2"/>
  <c r="U13" i="2" s="1"/>
  <c r="T12" i="2"/>
  <c r="U12" i="2" s="1"/>
  <c r="G12" i="2"/>
  <c r="M12" i="2" s="1"/>
  <c r="Q11" i="2"/>
  <c r="G9" i="2"/>
  <c r="K9" i="2" s="1"/>
  <c r="T8" i="2"/>
  <c r="U8" i="2" s="1"/>
  <c r="G8" i="2"/>
  <c r="H8" i="2" s="1"/>
  <c r="N8" i="2" s="1"/>
  <c r="Q7" i="2"/>
  <c r="J32" i="2" l="1"/>
  <c r="K32" i="2"/>
  <c r="U64" i="2"/>
  <c r="M30" i="2"/>
  <c r="J9" i="2"/>
  <c r="L9" i="2"/>
  <c r="L30" i="2"/>
  <c r="L52" i="2"/>
  <c r="K8" i="2"/>
  <c r="H24" i="2"/>
  <c r="N24" i="2" s="1"/>
  <c r="E25" i="2" s="1"/>
  <c r="P25" i="2" s="1"/>
  <c r="J55" i="2"/>
  <c r="L24" i="2"/>
  <c r="M35" i="2"/>
  <c r="M24" i="2"/>
  <c r="M43" i="2"/>
  <c r="J50" i="2"/>
  <c r="H52" i="2"/>
  <c r="N52" i="2" s="1"/>
  <c r="E53" i="2" s="1"/>
  <c r="P53" i="2" s="1"/>
  <c r="H55" i="2"/>
  <c r="N55" i="2" s="1"/>
  <c r="E56" i="2" s="1"/>
  <c r="P56" i="2" s="1"/>
  <c r="M55" i="2"/>
  <c r="J12" i="2"/>
  <c r="J18" i="2"/>
  <c r="L55" i="2"/>
  <c r="M9" i="2"/>
  <c r="H35" i="2"/>
  <c r="N35" i="2" s="1"/>
  <c r="E36" i="2" s="1"/>
  <c r="P36" i="2" s="1"/>
  <c r="H43" i="2"/>
  <c r="N43" i="2" s="1"/>
  <c r="E44" i="2" s="1"/>
  <c r="P44" i="2" s="1"/>
  <c r="H9" i="2"/>
  <c r="I9" i="2" s="1"/>
  <c r="H30" i="2"/>
  <c r="N30" i="2" s="1"/>
  <c r="E31" i="2" s="1"/>
  <c r="P31" i="2" s="1"/>
  <c r="L35" i="2"/>
  <c r="L43" i="2"/>
  <c r="I55" i="2"/>
  <c r="J8" i="2"/>
  <c r="L8" i="2"/>
  <c r="M8" i="2"/>
  <c r="I8" i="2"/>
  <c r="K47" i="2"/>
  <c r="K12" i="2"/>
  <c r="H14" i="2"/>
  <c r="N14" i="2" s="1"/>
  <c r="E15" i="2" s="1"/>
  <c r="P15" i="2" s="1"/>
  <c r="L14" i="2"/>
  <c r="K18" i="2"/>
  <c r="H22" i="2"/>
  <c r="N22" i="2" s="1"/>
  <c r="E23" i="2" s="1"/>
  <c r="P23" i="2" s="1"/>
  <c r="L22" i="2"/>
  <c r="H28" i="2"/>
  <c r="N28" i="2" s="1"/>
  <c r="E29" i="2" s="1"/>
  <c r="P29" i="2" s="1"/>
  <c r="L28" i="2"/>
  <c r="H32" i="2"/>
  <c r="N32" i="2" s="1"/>
  <c r="E33" i="2" s="1"/>
  <c r="P33" i="2" s="1"/>
  <c r="L32" i="2"/>
  <c r="H41" i="2"/>
  <c r="N41" i="2" s="1"/>
  <c r="E42" i="2" s="1"/>
  <c r="P42" i="2" s="1"/>
  <c r="L41" i="2"/>
  <c r="H47" i="2"/>
  <c r="N47" i="2" s="1"/>
  <c r="E48" i="2" s="1"/>
  <c r="P48" i="2" s="1"/>
  <c r="K14" i="2"/>
  <c r="K22" i="2"/>
  <c r="K28" i="2"/>
  <c r="K41" i="2"/>
  <c r="L47" i="2"/>
  <c r="K50" i="2"/>
  <c r="H12" i="2"/>
  <c r="N12" i="2" s="1"/>
  <c r="E13" i="2" s="1"/>
  <c r="P13" i="2" s="1"/>
  <c r="L12" i="2"/>
  <c r="M14" i="2"/>
  <c r="H18" i="2"/>
  <c r="N18" i="2" s="1"/>
  <c r="E19" i="2" s="1"/>
  <c r="P19" i="2" s="1"/>
  <c r="L18" i="2"/>
  <c r="M22" i="2"/>
  <c r="J24" i="2"/>
  <c r="M28" i="2"/>
  <c r="J30" i="2"/>
  <c r="M32" i="2"/>
  <c r="J35" i="2"/>
  <c r="M41" i="2"/>
  <c r="J43" i="2"/>
  <c r="M47" i="2"/>
  <c r="H50" i="2"/>
  <c r="N50" i="2" s="1"/>
  <c r="E51" i="2" s="1"/>
  <c r="P51" i="2" s="1"/>
  <c r="L50" i="2"/>
  <c r="J52" i="2"/>
  <c r="I35" i="2" l="1"/>
  <c r="N9" i="2"/>
  <c r="E10" i="2" s="1"/>
  <c r="P10" i="2" s="1"/>
  <c r="I52" i="2"/>
  <c r="P52" i="2" s="1"/>
  <c r="I41" i="2"/>
  <c r="P41" i="2" s="1"/>
  <c r="W46" i="2" s="1"/>
  <c r="I24" i="2"/>
  <c r="I18" i="2"/>
  <c r="I30" i="2"/>
  <c r="P30" i="2" s="1"/>
  <c r="I12" i="2"/>
  <c r="P12" i="2" s="1"/>
  <c r="P35" i="2"/>
  <c r="W40" i="2" s="1"/>
  <c r="K65" i="2"/>
  <c r="P8" i="2"/>
  <c r="I14" i="2"/>
  <c r="P14" i="2" s="1"/>
  <c r="I43" i="2"/>
  <c r="P43" i="2" s="1"/>
  <c r="N65" i="2"/>
  <c r="L73" i="2" s="1"/>
  <c r="I50" i="2"/>
  <c r="P50" i="2" s="1"/>
  <c r="P24" i="2"/>
  <c r="P55" i="2"/>
  <c r="W59" i="2" s="1"/>
  <c r="I47" i="2"/>
  <c r="P47" i="2" s="1"/>
  <c r="W49" i="2" s="1"/>
  <c r="I22" i="2"/>
  <c r="P22" i="2" s="1"/>
  <c r="M65" i="2"/>
  <c r="I28" i="2"/>
  <c r="P28" i="2" s="1"/>
  <c r="L65" i="2"/>
  <c r="P18" i="2"/>
  <c r="W21" i="2" s="1"/>
  <c r="I32" i="2"/>
  <c r="P32" i="2" s="1"/>
  <c r="W17" i="2" l="1"/>
  <c r="W54" i="2"/>
  <c r="P9" i="2"/>
  <c r="W11" i="2" s="1"/>
  <c r="W27" i="2"/>
  <c r="L70" i="2"/>
  <c r="O67" i="2"/>
  <c r="W34" i="2"/>
  <c r="P65" i="2" l="1"/>
  <c r="U65" i="2" s="1"/>
  <c r="L71" i="2" s="1"/>
  <c r="L75" i="2" s="1"/>
  <c r="U66" i="2"/>
  <c r="W64" i="2"/>
  <c r="N71" i="2"/>
  <c r="G31" i="1"/>
  <c r="J31" i="1" s="1"/>
  <c r="G39" i="1"/>
  <c r="L39" i="1" s="1"/>
  <c r="G33" i="1"/>
  <c r="M33" i="1" s="1"/>
  <c r="G8" i="1"/>
  <c r="K8" i="1" s="1"/>
  <c r="J33" i="1" l="1"/>
  <c r="K31" i="1"/>
  <c r="L33" i="1"/>
  <c r="M8" i="1"/>
  <c r="H8" i="1"/>
  <c r="I8" i="1" s="1"/>
  <c r="L8" i="1"/>
  <c r="J8" i="1"/>
  <c r="M39" i="1"/>
  <c r="H31" i="1"/>
  <c r="N31" i="1" s="1"/>
  <c r="L31" i="1"/>
  <c r="H33" i="1"/>
  <c r="N33" i="1" s="1"/>
  <c r="J39" i="1"/>
  <c r="M31" i="1"/>
  <c r="K39" i="1"/>
  <c r="H39" i="1"/>
  <c r="N39" i="1" s="1"/>
  <c r="K33" i="1"/>
  <c r="N8" i="1" l="1"/>
  <c r="I33" i="1"/>
  <c r="P33" i="1" s="1"/>
  <c r="P8" i="1"/>
  <c r="I39" i="1"/>
  <c r="P39" i="1" s="1"/>
  <c r="I31" i="1"/>
  <c r="P31" i="1" s="1"/>
  <c r="T24" i="1"/>
  <c r="U61" i="1" l="1"/>
  <c r="T53" i="1"/>
  <c r="G13" i="1" l="1"/>
  <c r="T47" i="1"/>
  <c r="U47" i="1" s="1"/>
  <c r="T52" i="1"/>
  <c r="U52" i="1" s="1"/>
  <c r="T51" i="1"/>
  <c r="U51" i="1" s="1"/>
  <c r="T50" i="1"/>
  <c r="U50" i="1" s="1"/>
  <c r="T46" i="1"/>
  <c r="U46" i="1" s="1"/>
  <c r="U45" i="1"/>
  <c r="G47" i="1"/>
  <c r="T34" i="1"/>
  <c r="U34" i="1" s="1"/>
  <c r="T33" i="1"/>
  <c r="U33" i="1" s="1"/>
  <c r="T35" i="1"/>
  <c r="U35" i="1" s="1"/>
  <c r="O23" i="1"/>
  <c r="O60" i="1" s="1"/>
  <c r="L68" i="1" s="1"/>
  <c r="G23" i="1"/>
  <c r="Q49" i="1"/>
  <c r="T7" i="1"/>
  <c r="U7" i="1" s="1"/>
  <c r="T19" i="1"/>
  <c r="U19" i="1" s="1"/>
  <c r="G37" i="1"/>
  <c r="K37" i="1" s="1"/>
  <c r="Q36" i="1"/>
  <c r="Q44" i="1"/>
  <c r="Q41" i="1"/>
  <c r="Q32" i="1"/>
  <c r="Q26" i="1"/>
  <c r="Q20" i="1"/>
  <c r="Q16" i="1"/>
  <c r="Q10" i="1"/>
  <c r="Q6" i="1"/>
  <c r="G29" i="1"/>
  <c r="K29" i="1" s="1"/>
  <c r="G27" i="1"/>
  <c r="K27" i="1" s="1"/>
  <c r="G42" i="1"/>
  <c r="K42" i="1" s="1"/>
  <c r="G45" i="1"/>
  <c r="K45" i="1" s="1"/>
  <c r="T37" i="1"/>
  <c r="U37" i="1" s="1"/>
  <c r="G50" i="1"/>
  <c r="K50" i="1" s="1"/>
  <c r="T18" i="1"/>
  <c r="U18" i="1" s="1"/>
  <c r="T17" i="1"/>
  <c r="U17" i="1" s="1"/>
  <c r="T12" i="1"/>
  <c r="U12" i="1" s="1"/>
  <c r="W36" i="1" l="1"/>
  <c r="K13" i="1"/>
  <c r="H13" i="1"/>
  <c r="K47" i="1"/>
  <c r="H47" i="1"/>
  <c r="M23" i="1"/>
  <c r="H23" i="1"/>
  <c r="L13" i="1"/>
  <c r="M13" i="1"/>
  <c r="J13" i="1"/>
  <c r="H45" i="1"/>
  <c r="M47" i="1"/>
  <c r="L47" i="1"/>
  <c r="J47" i="1"/>
  <c r="H42" i="1"/>
  <c r="N42" i="1" s="1"/>
  <c r="E43" i="1" s="1"/>
  <c r="P43" i="1" s="1"/>
  <c r="J23" i="1"/>
  <c r="K23" i="1"/>
  <c r="L23" i="1"/>
  <c r="M37" i="1"/>
  <c r="H37" i="1"/>
  <c r="N37" i="1" s="1"/>
  <c r="E38" i="1" s="1"/>
  <c r="P38" i="1" s="1"/>
  <c r="L37" i="1"/>
  <c r="J37" i="1"/>
  <c r="H27" i="1"/>
  <c r="H29" i="1"/>
  <c r="N29" i="1" s="1"/>
  <c r="E30" i="1" s="1"/>
  <c r="P30" i="1" s="1"/>
  <c r="L29" i="1"/>
  <c r="M29" i="1"/>
  <c r="J29" i="1"/>
  <c r="L27" i="1"/>
  <c r="M27" i="1"/>
  <c r="J27" i="1"/>
  <c r="L42" i="1"/>
  <c r="M42" i="1"/>
  <c r="J42" i="1"/>
  <c r="L45" i="1"/>
  <c r="M45" i="1"/>
  <c r="J45" i="1"/>
  <c r="H50" i="1"/>
  <c r="N50" i="1" s="1"/>
  <c r="E51" i="1" s="1"/>
  <c r="P51" i="1" s="1"/>
  <c r="L50" i="1"/>
  <c r="M50" i="1"/>
  <c r="J50" i="1"/>
  <c r="I37" i="1" l="1"/>
  <c r="P37" i="1" s="1"/>
  <c r="I29" i="1"/>
  <c r="P29" i="1" s="1"/>
  <c r="I42" i="1"/>
  <c r="P42" i="1" s="1"/>
  <c r="I50" i="1"/>
  <c r="P50" i="1" s="1"/>
  <c r="W54" i="1" s="1"/>
  <c r="T43" i="1" l="1"/>
  <c r="U43" i="1" s="1"/>
  <c r="T42" i="1"/>
  <c r="U42" i="1" s="1"/>
  <c r="W44" i="1" l="1"/>
  <c r="T39" i="1"/>
  <c r="U39" i="1" s="1"/>
  <c r="T38" i="1"/>
  <c r="U38" i="1" s="1"/>
  <c r="W41" i="1" s="1"/>
  <c r="T29" i="1" l="1"/>
  <c r="U29" i="1" s="1"/>
  <c r="T28" i="1"/>
  <c r="U28" i="1" s="1"/>
  <c r="T27" i="1"/>
  <c r="U27" i="1" s="1"/>
  <c r="T23" i="1" l="1"/>
  <c r="U23" i="1" s="1"/>
  <c r="T22" i="1"/>
  <c r="U22" i="1" s="1"/>
  <c r="T21" i="1"/>
  <c r="U21" i="1" s="1"/>
  <c r="G21" i="1"/>
  <c r="M21" i="1" l="1"/>
  <c r="H21" i="1"/>
  <c r="J21" i="1"/>
  <c r="L21" i="1"/>
  <c r="K21" i="1"/>
  <c r="G17" i="1" l="1"/>
  <c r="M17" i="1" l="1"/>
  <c r="J17" i="1"/>
  <c r="H17" i="1"/>
  <c r="L17" i="1"/>
  <c r="K17" i="1"/>
  <c r="T11" i="1" l="1"/>
  <c r="U11" i="1" s="1"/>
  <c r="G11" i="1"/>
  <c r="U59" i="1" l="1"/>
  <c r="L11" i="1"/>
  <c r="H11" i="1"/>
  <c r="J11" i="1"/>
  <c r="M11" i="1"/>
  <c r="K11" i="1"/>
  <c r="G7" i="1" l="1"/>
  <c r="H7" i="1" l="1"/>
  <c r="M7" i="1"/>
  <c r="M60" i="1" s="1"/>
  <c r="K7" i="1"/>
  <c r="K60" i="1" s="1"/>
  <c r="J7" i="1"/>
  <c r="L7" i="1"/>
  <c r="L60" i="1" s="1"/>
  <c r="O62" i="1" l="1"/>
  <c r="L66" i="1"/>
  <c r="N13" i="1"/>
  <c r="E14" i="1" s="1"/>
  <c r="P14" i="1" s="1"/>
  <c r="I13" i="1"/>
  <c r="P13" i="1" s="1"/>
  <c r="N23" i="1"/>
  <c r="E24" i="1" s="1"/>
  <c r="P24" i="1" s="1"/>
  <c r="N45" i="1"/>
  <c r="E46" i="1" s="1"/>
  <c r="P46" i="1" s="1"/>
  <c r="I7" i="1"/>
  <c r="N7" i="1"/>
  <c r="L65" i="1" s="1"/>
  <c r="I23" i="1" l="1"/>
  <c r="P23" i="1" s="1"/>
  <c r="N47" i="1"/>
  <c r="E48" i="1" s="1"/>
  <c r="P48" i="1" s="1"/>
  <c r="I47" i="1"/>
  <c r="I45" i="1"/>
  <c r="P45" i="1" s="1"/>
  <c r="N27" i="1"/>
  <c r="E28" i="1" s="1"/>
  <c r="P28" i="1" s="1"/>
  <c r="I27" i="1"/>
  <c r="P7" i="1"/>
  <c r="W10" i="1" s="1"/>
  <c r="N11" i="1"/>
  <c r="E12" i="1" s="1"/>
  <c r="P12" i="1" s="1"/>
  <c r="I11" i="1"/>
  <c r="P47" i="1" l="1"/>
  <c r="W49" i="1"/>
  <c r="P27" i="1"/>
  <c r="W32" i="1" s="1"/>
  <c r="P11" i="1"/>
  <c r="W16" i="1" s="1"/>
  <c r="N17" i="1"/>
  <c r="E18" i="1" s="1"/>
  <c r="P18" i="1" s="1"/>
  <c r="I17" i="1"/>
  <c r="N21" i="1" l="1"/>
  <c r="N60" i="1" s="1"/>
  <c r="I21" i="1"/>
  <c r="P17" i="1"/>
  <c r="W20" i="1" s="1"/>
  <c r="E22" i="1" l="1"/>
  <c r="P22" i="1" s="1"/>
  <c r="P21" i="1"/>
  <c r="W26" i="1" s="1"/>
  <c r="P60" i="1" l="1"/>
  <c r="U60" i="1" s="1"/>
  <c r="L67" i="1" s="1"/>
  <c r="W59" i="1"/>
</calcChain>
</file>

<file path=xl/sharedStrings.xml><?xml version="1.0" encoding="utf-8"?>
<sst xmlns="http://schemas.openxmlformats.org/spreadsheetml/2006/main" count="298" uniqueCount="145">
  <si>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</si>
  <si>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</si>
  <si>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</si>
  <si>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</si>
  <si>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</si>
  <si>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</si>
  <si>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</si>
  <si>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</si>
  <si>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</si>
  <si>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</si>
  <si>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</si>
  <si>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</si>
  <si>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</si>
  <si>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</si>
  <si>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</si>
  <si>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</si>
  <si>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</si>
  <si>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Pipe Laying work</t>
  </si>
  <si>
    <t>On Commissioning</t>
  </si>
  <si>
    <t>Hydro Testing</t>
  </si>
  <si>
    <t>Total Paid Amount Rs. -</t>
  </si>
  <si>
    <t>Balance Payable Amount Rs. -</t>
  </si>
  <si>
    <t>Hold the Amount because the Qty. is more then the DPR</t>
  </si>
  <si>
    <t>Shamli UP</t>
  </si>
  <si>
    <t>Vinod Engineering</t>
  </si>
  <si>
    <t>03-10-2022 NEFT/AXISP00324920993/RIUP22/889/VINOD ENGINEERIN 990000.00</t>
  </si>
  <si>
    <t>RIUP22/889</t>
  </si>
  <si>
    <t xml:space="preserve">Titayli Village Pipe laying work </t>
  </si>
  <si>
    <t>02-c</t>
  </si>
  <si>
    <t>RIUP22/914</t>
  </si>
  <si>
    <t>07-10-2022 NEFT/AXISP00326390763/RIUP22/914/VINOD ENGINEERIN 990000.00</t>
  </si>
  <si>
    <t>2023 April 07 ---------- Vinod Engineering ----------- Rs. 2,00,000 ------------- /AXISP00379707438</t>
  </si>
  <si>
    <t xml:space="preserve">Kertu Village Pipe laying work </t>
  </si>
  <si>
    <t>07-c</t>
  </si>
  <si>
    <t>RIUP22/1095</t>
  </si>
  <si>
    <t>21-10-2022 NEFT/AXISP00331051350/RIUP22/1095/VINOD ENGINEERI 495000.00</t>
  </si>
  <si>
    <t>RIUP22/1927</t>
  </si>
  <si>
    <t>21-01-2023 NEFT/AXISP00356317118/RIUP22/1927/VINOD ENGINEERI ₹ 4,95,000.00</t>
  </si>
  <si>
    <t xml:space="preserve">Badhev kannukheda Village Pipe laying work </t>
  </si>
  <si>
    <t>03-c</t>
  </si>
  <si>
    <t>RIUP22/1096</t>
  </si>
  <si>
    <t>21-10-2022 NEFT/AXISP00331051351/RIUP22/1096/VINOD ENGINEERI 693000.00</t>
  </si>
  <si>
    <t>RIUP22/1928</t>
  </si>
  <si>
    <t>21-01-2023 NEFT/AXISP00356317119/RIUP22/1928/VINOD ENGINEERI ₹ 1,98,000.00</t>
  </si>
  <si>
    <t>2023 April 07 ----------- Vinod Engineering ---------- Rs. 2,00,000 ------------ /AXISP00379707439</t>
  </si>
  <si>
    <t xml:space="preserve">Mimla Grahi talab Village Pipe laying work </t>
  </si>
  <si>
    <t>04-c</t>
  </si>
  <si>
    <t>RIUP22/1405</t>
  </si>
  <si>
    <t>05-12-2022 NEFT/AXISP00343310353/RIUP22/1405/VINOD ENGINEERI 693000.00</t>
  </si>
  <si>
    <t>RIUP22/1929</t>
  </si>
  <si>
    <t>21-01-2023 NEFT/AXISP00356317120/RIUP22/1929/VINOD ENGINEERI ₹ 1,98,000.00</t>
  </si>
  <si>
    <t>2023 April 07 ---------- Vinod Engineering -------- Rs. 2,00,000 ------------- /AXISP00379707436</t>
  </si>
  <si>
    <t>RIUP22/1406</t>
  </si>
  <si>
    <t>05-12-2022 NEFT/AXISP00343310352/RIUP22/1406/VINOD ENGINEERI 693000.00</t>
  </si>
  <si>
    <t>RIUP22/1930/</t>
  </si>
  <si>
    <t>21-01-2023 NEFT/AXISP00356317121/RIUP22/1930/VINOD ENGINEERI ₹ 99,000.00</t>
  </si>
  <si>
    <t xml:space="preserve">Gogawan Village Pipe laying work </t>
  </si>
  <si>
    <t>01-c</t>
  </si>
  <si>
    <t>RIUP22/1407</t>
  </si>
  <si>
    <t>05-12-2022 NEFT/AXISP00343310351/RIUP22/1407/VINOD ENGINEERI 693000.00</t>
  </si>
  <si>
    <t>RIUP22/2537</t>
  </si>
  <si>
    <t>09-03-2023 NEFT/AXISP00370113974/RIUP22/2537/VINOD ENGINEERI 198000.00</t>
  </si>
  <si>
    <t>2023 April 07 ----------- Vinod Engineering -------------- Rs. 2,00,000 --------------- AXISP00379707440/</t>
  </si>
  <si>
    <t xml:space="preserve">Gohrani Village Pipe laying work </t>
  </si>
  <si>
    <t>05-c</t>
  </si>
  <si>
    <t>RIUP22/1931</t>
  </si>
  <si>
    <t>21-01-2023 NEFT/AXISP00356317122/RIUP22/1931/VINOD ENGINEERI ₹ 6,93,000.00</t>
  </si>
  <si>
    <t>2023 April 07 ------------ Vinod Engineering -------------- Rs. 4,00,000 ------------ /AXISP00379707437</t>
  </si>
  <si>
    <t xml:space="preserve">sikandarpur talab Village Pipe laying work </t>
  </si>
  <si>
    <t>06-c</t>
  </si>
  <si>
    <t>SPUP23/0346</t>
  </si>
  <si>
    <t>15-05-2023 15-05-2023 NEFT/AXISP00390088445/SPUP23/0346/VINOD ENGINEERI 443755.00</t>
  </si>
  <si>
    <t>13-10-2023 NEFT/AXISP00434230821/RIUP23/2635/VINOD ENGINEERING/ICIC0001360 297000.00</t>
  </si>
  <si>
    <t>13-10-2023 NEFT/AXISP00434230820/RIUP23/2636/VINOD ENGINEERING/ICIC0001360 198000.00</t>
  </si>
  <si>
    <t>04-08-2023 NEFT/AXISP00412804462/RIUP23/1360/VINOD ENGINEERI ₹ 3,96,000.00</t>
  </si>
  <si>
    <t>13-10-2023 NEFT/AXISP00434019647/RIUP23/2631/VINOD ENGINEERING/ICIC0001360 495000.00</t>
  </si>
  <si>
    <t>RIUP23/1360</t>
  </si>
  <si>
    <t>RIUP23/2631</t>
  </si>
  <si>
    <t>Pelkha village Pipe laying Work</t>
  </si>
  <si>
    <t>08-c</t>
  </si>
  <si>
    <t xml:space="preserve">GST </t>
  </si>
  <si>
    <t>Hold Amount</t>
  </si>
  <si>
    <t xml:space="preserve">Advance / Surplus </t>
  </si>
  <si>
    <t>GST Remaining</t>
  </si>
  <si>
    <t>RIUP22/2635</t>
  </si>
  <si>
    <t>SPUP22/1930</t>
  </si>
  <si>
    <t>16-06-2023 NEFT/AXISP00399073690/RIUP23/692/VINOD ENGINEERIN 49500.00</t>
  </si>
  <si>
    <t>04-08-2023 NEFT/AXISP00412804463/RIUP23/1378/VINOD ENGINEERI ₹ 3,96,000.00</t>
  </si>
  <si>
    <t>Advance Village Wise</t>
  </si>
  <si>
    <t>13-10-2023 NEFT/AXISP00434019646/RIUP23/2630/VINOD ENGINEERING/ICIC0001360 495000.00</t>
  </si>
  <si>
    <t>01-02-2024 NEFT/AXISP00467376683/RIUP23/4541/VINOD ENGINEERING/ICIC0001360 495000.00</t>
  </si>
  <si>
    <t>07-05-2024 NEFT/AXISP00497850356/RIUP24/0397/VINOD ENGINEERING/ICIC0001360 198000.00</t>
  </si>
  <si>
    <t>07-05-2024 NEFT/AXISP00497850355/RIUP24/0396/VINOD ENGINEERING/ICIC0001360 594000.00</t>
  </si>
  <si>
    <t>8 c</t>
  </si>
  <si>
    <t>23.7.24</t>
  </si>
  <si>
    <t>13 c</t>
  </si>
  <si>
    <t>Extra Hold</t>
  </si>
  <si>
    <t xml:space="preserve"> Pipe Line Laying Work. Village-Panjokhera</t>
  </si>
  <si>
    <t>14c</t>
  </si>
  <si>
    <t>Bill Not Checked</t>
  </si>
  <si>
    <t>Pipeline laying work at Rasoolpur Gurjan Village</t>
  </si>
  <si>
    <t>17c</t>
  </si>
  <si>
    <t>15c</t>
  </si>
  <si>
    <t>16c</t>
  </si>
  <si>
    <t>Nakshatra  - 03.09.24</t>
  </si>
  <si>
    <t>Debit</t>
  </si>
  <si>
    <t>Nil</t>
  </si>
  <si>
    <t>05-09-2024 NEFT/AXISP00536863248/RIUP24/1665/VINOD ENGINEERING/ICIC0001360 ₹ 1,48,500.00</t>
  </si>
  <si>
    <t>05-09-2024 NEFT/AXISP00536863249/RIUP24/1666/VINOD ENGINEERING/ICIC0001360 ₹ 2,97,000.00</t>
  </si>
  <si>
    <t>06-09-2024 NEFT/AXISP00537326605/RIUP24/1667/VINOD ENGINEERING/ICIC0001360 247500.00</t>
  </si>
  <si>
    <t xml:space="preserve">Amount </t>
  </si>
  <si>
    <t>30-10-2024 NEFT/AXISP00561828553/RIUPP24/2379/VINOD ENGINEERING/ICIC0001360 148500.00</t>
  </si>
  <si>
    <t>RIUPP24/2379</t>
  </si>
  <si>
    <t>RIUP24/0396</t>
  </si>
  <si>
    <t>07-02-2025 NEFT/AXISP00612495139/RIUP24/3120/VINOD ENGINEERING/ICIC0001360 247500.00</t>
  </si>
  <si>
    <t>10-02-2025 NEFT/AXISP00613794876/RIUP24/3119/VINOD ENGINEERING/ICIC0001360 198000.00</t>
  </si>
  <si>
    <t>11-02-2025 NEFT/AXISP00614452337/RIUP24/3118/VINOD ENGINEERING/ICIC0001360 99000.00</t>
  </si>
  <si>
    <t>13 c &amp; 14 C</t>
  </si>
  <si>
    <t>16 c</t>
  </si>
  <si>
    <t>24.02.2025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</si>
  <si>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</si>
  <si>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</si>
  <si>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</si>
  <si>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</si>
  <si>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</si>
  <si>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</si>
  <si>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</si>
  <si>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</si>
  <si>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</si>
  <si>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</si>
  <si>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</si>
  <si>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</si>
  <si>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</si>
  <si>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</si>
  <si>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</si>
  <si>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</si>
  <si>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</si>
  <si>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</si>
  <si>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</si>
  <si>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</si>
  <si>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</si>
  <si>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</si>
  <si>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</si>
  <si>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Panjokhera village Pipe Line Laying Work</t>
  </si>
  <si>
    <t xml:space="preserve">Rasoolpur Gurjan Village Pipeline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</si>
</sst>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#,##0.000_ ;\-#,##0.000\ "/>
    <numFmt numFmtId="166" formatCode="#,##0.0_ ;\-#,##0.0\ "/>
    <numFmt numFmtId="168" formatCode="[$-409]d\-mmm\-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7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164" fontId="6" fillId="2" borderId="8" xfId="1" applyNumberFormat="1" applyFont="1" applyFill="1" applyBorder="1" applyAlignment="1">
      <alignment horizontal="center" vertical="center"/>
    </xf>
    <xf numFmtId="164" fontId="5" fillId="2" borderId="8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quotePrefix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14" fontId="3" fillId="2" borderId="0" xfId="0" applyNumberFormat="1" applyFont="1" applyFill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0" borderId="5" xfId="0" applyBorder="1" applyAlignment="1">
      <alignment vertical="center"/>
    </xf>
    <xf numFmtId="164" fontId="0" fillId="3" borderId="5" xfId="0" applyNumberForma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8" fillId="3" borderId="5" xfId="0" applyFont="1" applyFill="1" applyBorder="1"/>
    <xf numFmtId="164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164" fontId="3" fillId="3" borderId="12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0" fontId="5" fillId="4" borderId="12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164" fontId="12" fillId="5" borderId="5" xfId="1" applyNumberFormat="1" applyFont="1" applyFill="1" applyBorder="1" applyAlignment="1">
      <alignment vertical="center"/>
    </xf>
    <xf numFmtId="0" fontId="13" fillId="2" borderId="5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0" borderId="13" xfId="0" applyBorder="1"/>
    <xf numFmtId="164" fontId="3" fillId="0" borderId="13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1" fillId="0" borderId="13" xfId="0" applyFont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166" fontId="0" fillId="2" borderId="2" xfId="0" applyNumberForma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39" fontId="7" fillId="2" borderId="3" xfId="1" applyNumberFormat="1" applyFont="1" applyFill="1" applyBorder="1" applyAlignment="1">
      <alignment horizontal="center" vertical="center"/>
    </xf>
    <xf numFmtId="39" fontId="7" fillId="2" borderId="7" xfId="1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4" fontId="9" fillId="2" borderId="9" xfId="1" applyNumberFormat="1" applyFont="1" applyFill="1" applyBorder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/>
    </xf>
    <xf numFmtId="164" fontId="9" fillId="2" borderId="10" xfId="1" applyNumberFormat="1" applyFont="1" applyFill="1" applyBorder="1" applyAlignment="1">
      <alignment horizontal="center" vertical="center"/>
    </xf>
    <xf numFmtId="164" fontId="10" fillId="2" borderId="3" xfId="1" applyNumberFormat="1" applyFont="1" applyFill="1" applyBorder="1" applyAlignment="1">
      <alignment horizontal="center" vertical="center"/>
    </xf>
    <xf numFmtId="164" fontId="10" fillId="2" borderId="4" xfId="1" applyNumberFormat="1" applyFont="1" applyFill="1" applyBorder="1" applyAlignment="1">
      <alignment horizontal="center" vertical="center"/>
    </xf>
    <xf numFmtId="164" fontId="10" fillId="2" borderId="7" xfId="1" applyNumberFormat="1" applyFont="1" applyFill="1" applyBorder="1" applyAlignment="1">
      <alignment horizontal="center" vertical="center"/>
    </xf>
    <xf numFmtId="0" fontId="7" fillId="0" borderId="0" xfId="0" applyFont="1"/>
    <xf numFmtId="164" fontId="14" fillId="2" borderId="1" xfId="2" applyFont="1" applyFill="1" applyBorder="1" applyAlignment="1">
      <alignment vertical="center"/>
    </xf>
    <xf numFmtId="164" fontId="14" fillId="2" borderId="2" xfId="2" applyFont="1" applyFill="1" applyBorder="1" applyAlignment="1">
      <alignment vertical="center"/>
    </xf>
    <xf numFmtId="0" fontId="15" fillId="2" borderId="2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/>
    </xf>
    <xf numFmtId="164" fontId="16" fillId="2" borderId="8" xfId="2" applyFont="1" applyFill="1" applyBorder="1" applyAlignment="1">
      <alignment horizontal="center" vertical="center"/>
    </xf>
    <xf numFmtId="164" fontId="7" fillId="2" borderId="8" xfId="2" applyFont="1" applyFill="1" applyBorder="1" applyAlignment="1">
      <alignment horizontal="center" vertical="center"/>
    </xf>
    <xf numFmtId="168" fontId="0" fillId="2" borderId="0" xfId="0" applyNumberFormat="1" applyFill="1" applyAlignment="1">
      <alignment vertical="center"/>
    </xf>
    <xf numFmtId="168" fontId="2" fillId="2" borderId="0" xfId="1" applyNumberFormat="1" applyFont="1" applyFill="1" applyBorder="1" applyAlignment="1">
      <alignment vertical="center"/>
    </xf>
    <xf numFmtId="168" fontId="3" fillId="2" borderId="2" xfId="0" applyNumberFormat="1" applyFont="1" applyFill="1" applyBorder="1" applyAlignment="1">
      <alignment vertical="center"/>
    </xf>
    <xf numFmtId="168" fontId="7" fillId="2" borderId="8" xfId="0" applyNumberFormat="1" applyFont="1" applyFill="1" applyBorder="1" applyAlignment="1">
      <alignment horizontal="center" vertical="center"/>
    </xf>
    <xf numFmtId="168" fontId="3" fillId="2" borderId="6" xfId="1" applyNumberFormat="1" applyFont="1" applyFill="1" applyBorder="1" applyAlignment="1">
      <alignment vertical="center"/>
    </xf>
    <xf numFmtId="168" fontId="3" fillId="3" borderId="12" xfId="1" applyNumberFormat="1" applyFont="1" applyFill="1" applyBorder="1" applyAlignment="1">
      <alignment vertical="center"/>
    </xf>
    <xf numFmtId="168" fontId="3" fillId="2" borderId="5" xfId="0" applyNumberFormat="1" applyFont="1" applyFill="1" applyBorder="1" applyAlignment="1">
      <alignment horizontal="center" vertical="center"/>
    </xf>
    <xf numFmtId="168" fontId="3" fillId="3" borderId="5" xfId="0" applyNumberFormat="1" applyFont="1" applyFill="1" applyBorder="1" applyAlignment="1">
      <alignment horizontal="center" vertical="center"/>
    </xf>
    <xf numFmtId="168" fontId="3" fillId="3" borderId="5" xfId="1" applyNumberFormat="1" applyFont="1" applyFill="1" applyBorder="1" applyAlignment="1">
      <alignment vertical="center"/>
    </xf>
    <xf numFmtId="168" fontId="3" fillId="2" borderId="5" xfId="1" applyNumberFormat="1" applyFont="1" applyFill="1" applyBorder="1" applyAlignment="1">
      <alignment vertical="center"/>
    </xf>
    <xf numFmtId="168" fontId="3" fillId="2" borderId="11" xfId="1" applyNumberFormat="1" applyFont="1" applyFill="1" applyBorder="1" applyAlignment="1">
      <alignment vertical="center"/>
    </xf>
    <xf numFmtId="168" fontId="3" fillId="2" borderId="8" xfId="1" applyNumberFormat="1" applyFont="1" applyFill="1" applyBorder="1" applyAlignment="1">
      <alignment vertical="center"/>
    </xf>
    <xf numFmtId="0" fontId="0" fillId="2" borderId="0" xfId="0" applyNumberFormat="1" applyFill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0" fontId="7" fillId="2" borderId="8" xfId="0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vertical="center"/>
    </xf>
    <xf numFmtId="0" fontId="3" fillId="3" borderId="12" xfId="1" applyNumberFormat="1" applyFont="1" applyFill="1" applyBorder="1" applyAlignment="1">
      <alignment vertical="center"/>
    </xf>
    <xf numFmtId="0" fontId="3" fillId="2" borderId="5" xfId="0" quotePrefix="1" applyNumberFormat="1" applyFont="1" applyFill="1" applyBorder="1" applyAlignment="1">
      <alignment horizontal="center" vertical="center"/>
    </xf>
    <xf numFmtId="0" fontId="3" fillId="3" borderId="5" xfId="0" quotePrefix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0" fontId="3" fillId="2" borderId="11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ECCFCA76-F2B2-4AB0-A03C-B1D98F22CBC9}"/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75"/>
  <sheetViews>
    <sheetView tabSelected="1" zoomScaleNormal="100" workbookViewId="0">
      <selection activeCell="F3" sqref="F3"/>
    </sheetView>
  </sheetViews>
  <sheetFormatPr defaultColWidth="9" defaultRowHeight="24.9" customHeight="1" x14ac:dyDescent="0.3"/>
  <cols>
    <col min="1" max="1" width="6" style="3" bestFit="1" customWidth="1"/>
    <col min="2" max="2" width="40.88671875" style="3" bestFit="1" customWidth="1"/>
    <col min="3" max="3" width="11.6640625" style="83" bestFit="1" customWidth="1"/>
    <col min="4" max="4" width="14" style="95" customWidth="1"/>
    <col min="5" max="5" width="12.109375" style="3" bestFit="1" customWidth="1"/>
    <col min="6" max="6" width="8.44140625" style="3" bestFit="1" customWidth="1"/>
    <col min="7" max="7" width="15.44140625" style="3" bestFit="1" customWidth="1"/>
    <col min="8" max="8" width="11.44140625" style="15" bestFit="1" customWidth="1"/>
    <col min="9" max="9" width="15.33203125" style="15" bestFit="1" customWidth="1"/>
    <col min="10" max="10" width="9.6640625" style="3" bestFit="1" customWidth="1"/>
    <col min="11" max="11" width="12.5546875" style="3" bestFit="1" customWidth="1"/>
    <col min="12" max="12" width="15" style="3" bestFit="1" customWidth="1"/>
    <col min="13" max="14" width="13.6640625" style="3" bestFit="1" customWidth="1"/>
    <col min="15" max="15" width="17.33203125" style="3" customWidth="1"/>
    <col min="16" max="16" width="15.44140625" style="3" bestFit="1" customWidth="1"/>
    <col min="17" max="17" width="6" style="3" bestFit="1" customWidth="1"/>
    <col min="18" max="18" width="28.109375" style="3" bestFit="1" customWidth="1"/>
    <col min="19" max="19" width="12.109375" style="3" bestFit="1" customWidth="1"/>
    <col min="20" max="20" width="35.109375" style="3" bestFit="1" customWidth="1"/>
    <col min="21" max="21" width="16.109375" style="3" bestFit="1" customWidth="1"/>
    <col min="22" max="22" width="89.44140625" style="3" bestFit="1" customWidth="1"/>
    <col min="23" max="23" width="20.44140625" style="3" customWidth="1"/>
    <col min="24" max="16384" width="9" style="3"/>
  </cols>
  <sheetData>
    <row r="1" spans="1:23" ht="24.9" customHeight="1" thickBot="1" x14ac:dyDescent="0.35">
      <c r="A1" s="75" t="s">
        <v>120</v>
      </c>
      <c r="B1" s="7" t="s">
        <v>24</v>
      </c>
      <c r="E1" s="4"/>
      <c r="F1" s="4"/>
      <c r="G1" s="4"/>
      <c r="H1" s="5"/>
      <c r="I1" s="5"/>
    </row>
    <row r="2" spans="1:23" ht="24.9" customHeight="1" thickBot="1" x14ac:dyDescent="0.35">
      <c r="A2" s="75" t="s">
        <v>121</v>
      </c>
      <c r="B2" s="76" t="s">
        <v>122</v>
      </c>
      <c r="C2" s="84"/>
      <c r="D2" s="96"/>
      <c r="G2" s="8"/>
      <c r="I2" s="8" t="s">
        <v>17</v>
      </c>
      <c r="J2" s="9"/>
      <c r="K2" s="9"/>
      <c r="L2" s="9"/>
      <c r="M2" s="9"/>
      <c r="N2" s="9"/>
      <c r="O2" s="9"/>
      <c r="P2" s="9"/>
      <c r="Q2" s="31"/>
      <c r="R2" s="9"/>
      <c r="S2" s="9"/>
      <c r="T2" s="9"/>
    </row>
    <row r="3" spans="1:23" ht="24.9" customHeight="1" thickBot="1" x14ac:dyDescent="0.35">
      <c r="A3" s="75" t="s">
        <v>123</v>
      </c>
      <c r="B3" s="77" t="s">
        <v>124</v>
      </c>
      <c r="C3" s="84"/>
      <c r="D3" s="96"/>
      <c r="G3" s="8"/>
      <c r="I3" s="8"/>
      <c r="J3" s="9"/>
      <c r="K3" s="9"/>
      <c r="L3" s="9"/>
      <c r="M3" s="9"/>
      <c r="N3" s="9"/>
      <c r="O3" s="9"/>
      <c r="P3" s="9"/>
      <c r="Q3" s="31"/>
      <c r="R3" s="9"/>
      <c r="S3" s="9"/>
      <c r="T3" s="9"/>
    </row>
    <row r="4" spans="1:23" ht="24.9" customHeight="1" thickBot="1" x14ac:dyDescent="0.35">
      <c r="A4" s="75" t="s">
        <v>125</v>
      </c>
      <c r="B4" s="78" t="s">
        <v>124</v>
      </c>
      <c r="C4" s="85"/>
      <c r="D4" s="97"/>
      <c r="E4" s="10"/>
      <c r="F4" s="9"/>
      <c r="G4" s="9"/>
      <c r="H4" s="11"/>
      <c r="I4" s="11"/>
      <c r="J4" s="9"/>
      <c r="K4" s="9"/>
      <c r="L4" s="9"/>
      <c r="M4" s="9"/>
      <c r="R4" s="9"/>
      <c r="S4" s="12"/>
      <c r="T4" s="12"/>
      <c r="U4" s="12"/>
      <c r="V4" s="12"/>
    </row>
    <row r="5" spans="1:23" ht="24.9" customHeight="1" x14ac:dyDescent="0.3">
      <c r="A5" s="79" t="s">
        <v>126</v>
      </c>
      <c r="B5" s="61" t="s">
        <v>127</v>
      </c>
      <c r="C5" s="86" t="s">
        <v>128</v>
      </c>
      <c r="D5" s="98" t="s">
        <v>129</v>
      </c>
      <c r="E5" s="61" t="s">
        <v>130</v>
      </c>
      <c r="F5" s="61" t="s">
        <v>131</v>
      </c>
      <c r="G5" s="80" t="s">
        <v>132</v>
      </c>
      <c r="H5" s="81" t="s">
        <v>133</v>
      </c>
      <c r="I5" s="82" t="s">
        <v>6</v>
      </c>
      <c r="J5" s="61" t="s">
        <v>134</v>
      </c>
      <c r="K5" s="61" t="s">
        <v>135</v>
      </c>
      <c r="L5" s="61" t="s">
        <v>136</v>
      </c>
      <c r="M5" s="61" t="s">
        <v>137</v>
      </c>
      <c r="N5" s="61" t="s">
        <v>138</v>
      </c>
      <c r="O5" s="22" t="s">
        <v>22</v>
      </c>
      <c r="P5" s="61" t="s">
        <v>139</v>
      </c>
      <c r="Q5" s="22"/>
      <c r="R5" s="22" t="s">
        <v>9</v>
      </c>
      <c r="S5" s="61" t="s">
        <v>140</v>
      </c>
      <c r="T5" s="61" t="s">
        <v>141</v>
      </c>
      <c r="U5" s="61" t="s">
        <v>142</v>
      </c>
      <c r="V5" s="61" t="s">
        <v>11</v>
      </c>
      <c r="W5" s="67" t="s">
        <v>88</v>
      </c>
    </row>
    <row r="6" spans="1:23" ht="24.9" customHeight="1" thickBot="1" x14ac:dyDescent="0.35">
      <c r="A6" s="42"/>
      <c r="B6" s="14"/>
      <c r="C6" s="87"/>
      <c r="D6" s="99"/>
      <c r="E6" s="14"/>
      <c r="F6" s="14"/>
      <c r="G6" s="14"/>
      <c r="H6" s="47">
        <v>0.18</v>
      </c>
      <c r="I6" s="14"/>
      <c r="J6" s="47">
        <v>0.01</v>
      </c>
      <c r="K6" s="47">
        <v>0.05</v>
      </c>
      <c r="L6" s="47">
        <v>0.1</v>
      </c>
      <c r="M6" s="47">
        <v>0.1</v>
      </c>
      <c r="N6" s="47">
        <v>0.18</v>
      </c>
      <c r="O6" s="47"/>
      <c r="P6" s="14"/>
      <c r="Q6" s="29"/>
      <c r="R6" s="14"/>
      <c r="S6" s="14"/>
      <c r="T6" s="47">
        <v>0.01</v>
      </c>
      <c r="U6" s="14"/>
      <c r="V6" s="14"/>
      <c r="W6" s="68"/>
    </row>
    <row r="7" spans="1:23" s="16" customFormat="1" ht="24.9" customHeight="1" x14ac:dyDescent="0.3">
      <c r="A7" s="43"/>
      <c r="B7" s="44"/>
      <c r="C7" s="88"/>
      <c r="D7" s="100"/>
      <c r="E7" s="44"/>
      <c r="F7" s="44"/>
      <c r="G7" s="44"/>
      <c r="H7" s="45"/>
      <c r="I7" s="44"/>
      <c r="J7" s="45"/>
      <c r="K7" s="45"/>
      <c r="L7" s="45"/>
      <c r="M7" s="45"/>
      <c r="N7" s="45"/>
      <c r="O7" s="45"/>
      <c r="P7" s="44"/>
      <c r="Q7" s="46">
        <f>A8</f>
        <v>52676</v>
      </c>
      <c r="R7" s="44"/>
      <c r="S7" s="44"/>
      <c r="T7" s="45"/>
      <c r="U7" s="44"/>
      <c r="V7" s="44"/>
      <c r="W7" s="43"/>
    </row>
    <row r="8" spans="1:23" ht="24.9" customHeight="1" x14ac:dyDescent="0.3">
      <c r="A8" s="35">
        <v>52676</v>
      </c>
      <c r="B8" s="24" t="s">
        <v>143</v>
      </c>
      <c r="C8" s="89">
        <v>45483</v>
      </c>
      <c r="D8" s="101" t="s">
        <v>95</v>
      </c>
      <c r="E8" s="13">
        <v>1086117</v>
      </c>
      <c r="F8" s="13">
        <v>0</v>
      </c>
      <c r="G8" s="13">
        <f>E8-F8</f>
        <v>1086117</v>
      </c>
      <c r="H8" s="13">
        <f>ROUND(G8*H6,0)</f>
        <v>195501</v>
      </c>
      <c r="I8" s="13">
        <f>ROUND(G8+H8,)</f>
        <v>1281618</v>
      </c>
      <c r="J8" s="13">
        <f>G8*$J$6</f>
        <v>10861.17</v>
      </c>
      <c r="K8" s="13">
        <f>G8*$K$6</f>
        <v>54305.850000000006</v>
      </c>
      <c r="L8" s="13">
        <f>G8*$L$6</f>
        <v>108611.70000000001</v>
      </c>
      <c r="M8" s="13">
        <f>G8*$M$6</f>
        <v>108611.70000000001</v>
      </c>
      <c r="N8" s="52">
        <f>H8</f>
        <v>195501</v>
      </c>
      <c r="O8" s="13">
        <v>0</v>
      </c>
      <c r="P8" s="13">
        <f>ROUND(I8-SUM(J8:O8),0)</f>
        <v>803727</v>
      </c>
      <c r="Q8" s="23"/>
      <c r="R8" s="13" t="s">
        <v>26</v>
      </c>
      <c r="S8" s="13">
        <v>1000000</v>
      </c>
      <c r="T8" s="13">
        <f t="shared" ref="T8:T37" si="0">S8*$T$6</f>
        <v>10000</v>
      </c>
      <c r="U8" s="13">
        <f>S8-T8</f>
        <v>990000</v>
      </c>
      <c r="V8" s="37" t="s">
        <v>25</v>
      </c>
      <c r="W8" s="35"/>
    </row>
    <row r="9" spans="1:23" ht="24.9" customHeight="1" x14ac:dyDescent="0.3">
      <c r="A9" s="35">
        <v>52676</v>
      </c>
      <c r="B9" s="24" t="s">
        <v>143</v>
      </c>
      <c r="C9" s="89">
        <v>45505</v>
      </c>
      <c r="D9" s="101" t="s">
        <v>98</v>
      </c>
      <c r="E9" s="13">
        <v>266948</v>
      </c>
      <c r="F9" s="13"/>
      <c r="G9" s="13">
        <f>E9-F9</f>
        <v>266948</v>
      </c>
      <c r="H9" s="13">
        <f>ROUND(G9*H6,0)</f>
        <v>48051</v>
      </c>
      <c r="I9" s="13">
        <f>ROUND(G9+H9,)</f>
        <v>314999</v>
      </c>
      <c r="J9" s="13">
        <f>G9*$J$6</f>
        <v>2669.48</v>
      </c>
      <c r="K9" s="13">
        <f>G9*$K$6</f>
        <v>13347.400000000001</v>
      </c>
      <c r="L9" s="13">
        <f>G9*$L$6</f>
        <v>26694.800000000003</v>
      </c>
      <c r="M9" s="13">
        <f>G9*$M$6</f>
        <v>26694.800000000003</v>
      </c>
      <c r="N9" s="52">
        <f>H9</f>
        <v>48051</v>
      </c>
      <c r="O9" s="13"/>
      <c r="P9" s="13">
        <f>ROUND(I9-SUM(J9:O9),0)</f>
        <v>197542</v>
      </c>
      <c r="Q9" s="53"/>
      <c r="R9" s="13"/>
      <c r="S9" s="13">
        <v>150000</v>
      </c>
      <c r="T9" s="13">
        <v>1500</v>
      </c>
      <c r="U9" s="13">
        <v>148500</v>
      </c>
      <c r="V9" s="55" t="s">
        <v>107</v>
      </c>
      <c r="W9" s="35"/>
    </row>
    <row r="10" spans="1:23" ht="24.9" customHeight="1" x14ac:dyDescent="0.3">
      <c r="A10" s="35">
        <v>52676</v>
      </c>
      <c r="B10" s="24" t="s">
        <v>80</v>
      </c>
      <c r="C10" s="89"/>
      <c r="D10" s="101" t="s">
        <v>117</v>
      </c>
      <c r="E10" s="13">
        <f>N9+N8</f>
        <v>243552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52">
        <f>E10</f>
        <v>243552</v>
      </c>
      <c r="Q10" s="23"/>
      <c r="R10" s="13"/>
      <c r="S10" s="13"/>
      <c r="T10" s="13"/>
      <c r="U10" s="13">
        <v>247500</v>
      </c>
      <c r="V10" s="55" t="s">
        <v>114</v>
      </c>
      <c r="W10" s="35"/>
    </row>
    <row r="11" spans="1:23" s="16" customFormat="1" ht="24.9" customHeight="1" x14ac:dyDescent="0.3">
      <c r="A11" s="36"/>
      <c r="B11" s="26"/>
      <c r="C11" s="90"/>
      <c r="D11" s="102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30">
        <f>A12</f>
        <v>52677</v>
      </c>
      <c r="R11" s="17"/>
      <c r="S11" s="17"/>
      <c r="T11" s="17"/>
      <c r="U11" s="17"/>
      <c r="V11" s="36"/>
      <c r="W11" s="38">
        <f>SUM(P8:P10)-SUM(U8:U10)</f>
        <v>-141179</v>
      </c>
    </row>
    <row r="12" spans="1:23" ht="24.9" customHeight="1" x14ac:dyDescent="0.3">
      <c r="A12" s="35">
        <v>52677</v>
      </c>
      <c r="B12" s="24" t="s">
        <v>27</v>
      </c>
      <c r="C12" s="89">
        <v>45014</v>
      </c>
      <c r="D12" s="101" t="s">
        <v>28</v>
      </c>
      <c r="E12" s="13">
        <v>1367366</v>
      </c>
      <c r="F12" s="13">
        <v>0</v>
      </c>
      <c r="G12" s="13">
        <f>E12-F12</f>
        <v>1367366</v>
      </c>
      <c r="H12" s="13">
        <f>ROUND(G12*H6,0)</f>
        <v>246126</v>
      </c>
      <c r="I12" s="13">
        <f>ROUND(G12+H12,)</f>
        <v>1613492</v>
      </c>
      <c r="J12" s="13">
        <f>G12*$J$6</f>
        <v>13673.66</v>
      </c>
      <c r="K12" s="13">
        <f>G12*$K$6</f>
        <v>68368.3</v>
      </c>
      <c r="L12" s="13">
        <f>G12*$L$6</f>
        <v>136736.6</v>
      </c>
      <c r="M12" s="13">
        <f>G12*$M$6</f>
        <v>136736.6</v>
      </c>
      <c r="N12" s="52">
        <f>H12</f>
        <v>246126</v>
      </c>
      <c r="O12" s="13">
        <v>0</v>
      </c>
      <c r="P12" s="13">
        <f>ROUND(I12-SUM(J12:O12),0)</f>
        <v>1011851</v>
      </c>
      <c r="Q12" s="23"/>
      <c r="R12" s="13" t="s">
        <v>29</v>
      </c>
      <c r="S12" s="13">
        <v>1000000</v>
      </c>
      <c r="T12" s="13">
        <f t="shared" si="0"/>
        <v>10000</v>
      </c>
      <c r="U12" s="13">
        <f>S12-T12</f>
        <v>990000</v>
      </c>
      <c r="V12" s="35" t="s">
        <v>30</v>
      </c>
      <c r="W12" s="35"/>
    </row>
    <row r="13" spans="1:23" ht="24.9" customHeight="1" x14ac:dyDescent="0.3">
      <c r="A13" s="35">
        <v>52677</v>
      </c>
      <c r="B13" s="24" t="s">
        <v>80</v>
      </c>
      <c r="C13" s="89"/>
      <c r="D13" s="101" t="s">
        <v>28</v>
      </c>
      <c r="E13" s="13">
        <f>N12</f>
        <v>246126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52">
        <f>E13</f>
        <v>246126</v>
      </c>
      <c r="Q13" s="23"/>
      <c r="R13" s="13"/>
      <c r="S13" s="13">
        <v>200000</v>
      </c>
      <c r="T13" s="13">
        <f t="shared" si="0"/>
        <v>2000</v>
      </c>
      <c r="U13" s="13">
        <f>S13-T13</f>
        <v>198000</v>
      </c>
      <c r="V13" s="35" t="s">
        <v>31</v>
      </c>
      <c r="W13" s="35"/>
    </row>
    <row r="14" spans="1:23" ht="24.9" customHeight="1" x14ac:dyDescent="0.3">
      <c r="A14" s="35">
        <v>52677</v>
      </c>
      <c r="B14" s="24" t="s">
        <v>27</v>
      </c>
      <c r="C14" s="89">
        <v>45321</v>
      </c>
      <c r="D14" s="101">
        <v>12</v>
      </c>
      <c r="E14" s="13">
        <v>636393</v>
      </c>
      <c r="F14" s="13">
        <v>1801</v>
      </c>
      <c r="G14" s="13">
        <f>E14-F14</f>
        <v>634592</v>
      </c>
      <c r="H14" s="13">
        <f>ROUND(G14*H6,0)</f>
        <v>114227</v>
      </c>
      <c r="I14" s="13">
        <f>ROUND(G14+H14,)</f>
        <v>748819</v>
      </c>
      <c r="J14" s="13">
        <f>G14*$J$6</f>
        <v>6345.92</v>
      </c>
      <c r="K14" s="13">
        <f>G14*$K$6</f>
        <v>31729.600000000002</v>
      </c>
      <c r="L14" s="13">
        <f>G14*$L$6</f>
        <v>63459.200000000004</v>
      </c>
      <c r="M14" s="13">
        <f>G14*$M$6</f>
        <v>63459.200000000004</v>
      </c>
      <c r="N14" s="52">
        <f>H14</f>
        <v>114227</v>
      </c>
      <c r="O14" s="13">
        <v>387156</v>
      </c>
      <c r="P14" s="13">
        <f>ROUND(I14-SUM(J14:O14),0)</f>
        <v>82442</v>
      </c>
      <c r="Q14" s="23"/>
      <c r="R14" s="13"/>
      <c r="S14" s="13">
        <v>200000</v>
      </c>
      <c r="T14" s="13">
        <v>2000</v>
      </c>
      <c r="U14" s="13">
        <v>198000</v>
      </c>
      <c r="V14" s="35" t="s">
        <v>91</v>
      </c>
      <c r="W14" s="35"/>
    </row>
    <row r="15" spans="1:23" ht="24.9" customHeight="1" x14ac:dyDescent="0.3">
      <c r="A15" s="35">
        <v>52677</v>
      </c>
      <c r="B15" s="24"/>
      <c r="C15" s="89"/>
      <c r="D15" s="101">
        <v>12</v>
      </c>
      <c r="E15" s="13">
        <f>N14</f>
        <v>114227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52">
        <f>E15</f>
        <v>114227</v>
      </c>
      <c r="Q15" s="23"/>
      <c r="R15" s="13"/>
      <c r="S15" s="13"/>
      <c r="T15" s="13"/>
      <c r="U15" s="13"/>
      <c r="V15" s="35"/>
      <c r="W15" s="35"/>
    </row>
    <row r="16" spans="1:23" ht="24.9" customHeight="1" x14ac:dyDescent="0.3">
      <c r="A16" s="35">
        <v>52677</v>
      </c>
      <c r="B16" s="24"/>
      <c r="C16" s="89"/>
      <c r="D16" s="101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3"/>
      <c r="R16" s="13"/>
      <c r="S16" s="13"/>
      <c r="T16" s="13"/>
      <c r="U16" s="13"/>
      <c r="V16" s="35"/>
      <c r="W16" s="35"/>
    </row>
    <row r="17" spans="1:23" s="16" customFormat="1" ht="24.9" customHeight="1" x14ac:dyDescent="0.3">
      <c r="A17" s="36"/>
      <c r="B17" s="26"/>
      <c r="C17" s="90"/>
      <c r="D17" s="102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30">
        <f>A18</f>
        <v>52921</v>
      </c>
      <c r="R17" s="17"/>
      <c r="S17" s="17"/>
      <c r="T17" s="17"/>
      <c r="U17" s="17"/>
      <c r="V17" s="36"/>
      <c r="W17" s="38">
        <f>SUM(P12:P16)-SUM(U12:U16)</f>
        <v>68646</v>
      </c>
    </row>
    <row r="18" spans="1:23" ht="24.9" customHeight="1" x14ac:dyDescent="0.3">
      <c r="A18" s="35">
        <v>52921</v>
      </c>
      <c r="B18" s="24" t="s">
        <v>32</v>
      </c>
      <c r="C18" s="89">
        <v>45031</v>
      </c>
      <c r="D18" s="101" t="s">
        <v>33</v>
      </c>
      <c r="E18" s="13">
        <v>520898</v>
      </c>
      <c r="F18" s="13">
        <v>0</v>
      </c>
      <c r="G18" s="13">
        <f>E18-F18</f>
        <v>520898</v>
      </c>
      <c r="H18" s="13">
        <f>ROUND(G18*H6,0)</f>
        <v>93762</v>
      </c>
      <c r="I18" s="13">
        <f>ROUND(G18+H18,)</f>
        <v>614660</v>
      </c>
      <c r="J18" s="13">
        <f>G18*$J$6</f>
        <v>5208.9800000000005</v>
      </c>
      <c r="K18" s="13">
        <f>G18*$K$6</f>
        <v>26044.9</v>
      </c>
      <c r="L18" s="13">
        <f>G18*$L$6</f>
        <v>52089.8</v>
      </c>
      <c r="M18" s="13">
        <f>G18*$M$6</f>
        <v>52089.8</v>
      </c>
      <c r="N18" s="52">
        <f>H18</f>
        <v>93762</v>
      </c>
      <c r="O18" s="13">
        <v>0</v>
      </c>
      <c r="P18" s="13">
        <f>ROUND(I18-SUM(J18:O18),0)</f>
        <v>385465</v>
      </c>
      <c r="Q18" s="23"/>
      <c r="R18" s="13" t="s">
        <v>34</v>
      </c>
      <c r="S18" s="13">
        <v>500000</v>
      </c>
      <c r="T18" s="13">
        <f t="shared" si="0"/>
        <v>5000</v>
      </c>
      <c r="U18" s="13">
        <f>S18-T18</f>
        <v>495000</v>
      </c>
      <c r="V18" s="35" t="s">
        <v>35</v>
      </c>
      <c r="W18" s="35"/>
    </row>
    <row r="19" spans="1:23" ht="24.9" customHeight="1" x14ac:dyDescent="0.3">
      <c r="A19" s="35">
        <v>52921</v>
      </c>
      <c r="B19" s="24" t="s">
        <v>80</v>
      </c>
      <c r="C19" s="89"/>
      <c r="D19" s="101" t="s">
        <v>33</v>
      </c>
      <c r="E19" s="13">
        <f>N18</f>
        <v>93762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52">
        <f>E19</f>
        <v>93762</v>
      </c>
      <c r="Q19" s="23"/>
      <c r="R19" s="13" t="s">
        <v>36</v>
      </c>
      <c r="S19" s="13">
        <v>500000</v>
      </c>
      <c r="T19" s="13">
        <f t="shared" si="0"/>
        <v>5000</v>
      </c>
      <c r="U19" s="13">
        <f t="shared" ref="U19:U20" si="1">S19-T19</f>
        <v>495000</v>
      </c>
      <c r="V19" s="35" t="s">
        <v>37</v>
      </c>
      <c r="W19" s="35"/>
    </row>
    <row r="20" spans="1:23" ht="24.9" customHeight="1" x14ac:dyDescent="0.3">
      <c r="A20" s="35">
        <v>52921</v>
      </c>
      <c r="B20" s="24"/>
      <c r="C20" s="89"/>
      <c r="D20" s="101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3"/>
      <c r="R20" s="13" t="s">
        <v>84</v>
      </c>
      <c r="S20" s="13">
        <v>300000</v>
      </c>
      <c r="T20" s="13">
        <f t="shared" si="0"/>
        <v>3000</v>
      </c>
      <c r="U20" s="13">
        <f t="shared" si="1"/>
        <v>297000</v>
      </c>
      <c r="V20" s="35" t="s">
        <v>72</v>
      </c>
      <c r="W20" s="35"/>
    </row>
    <row r="21" spans="1:23" s="16" customFormat="1" ht="24.9" customHeight="1" x14ac:dyDescent="0.3">
      <c r="A21" s="36"/>
      <c r="B21" s="26"/>
      <c r="C21" s="90"/>
      <c r="D21" s="102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30">
        <f>A22</f>
        <v>52922</v>
      </c>
      <c r="R21" s="17"/>
      <c r="S21" s="17"/>
      <c r="T21" s="17"/>
      <c r="U21" s="17"/>
      <c r="V21" s="36"/>
      <c r="W21" s="38">
        <f>SUM(P18:P20)-SUM(U18:U20)</f>
        <v>-807773</v>
      </c>
    </row>
    <row r="22" spans="1:23" ht="24.9" customHeight="1" x14ac:dyDescent="0.3">
      <c r="A22" s="35">
        <v>52922</v>
      </c>
      <c r="B22" s="24" t="s">
        <v>38</v>
      </c>
      <c r="C22" s="89">
        <v>45015</v>
      </c>
      <c r="D22" s="101" t="s">
        <v>39</v>
      </c>
      <c r="E22" s="13">
        <v>1172872</v>
      </c>
      <c r="F22" s="13">
        <v>0</v>
      </c>
      <c r="G22" s="13">
        <f>E22-F22</f>
        <v>1172872</v>
      </c>
      <c r="H22" s="13">
        <f>ROUND(G22*H6,0)</f>
        <v>211117</v>
      </c>
      <c r="I22" s="13">
        <f>ROUND(G22+H22,)</f>
        <v>1383989</v>
      </c>
      <c r="J22" s="13">
        <f>G22*$J$6</f>
        <v>11728.72</v>
      </c>
      <c r="K22" s="13">
        <f>G22*$K$6</f>
        <v>58643.600000000006</v>
      </c>
      <c r="L22" s="13">
        <f>G22*$L$6</f>
        <v>117287.20000000001</v>
      </c>
      <c r="M22" s="13">
        <f>G22*$M$6</f>
        <v>117287.20000000001</v>
      </c>
      <c r="N22" s="52">
        <f>H22</f>
        <v>211117</v>
      </c>
      <c r="O22" s="13">
        <v>0</v>
      </c>
      <c r="P22" s="13">
        <f>ROUND(I22-SUM(J22:O22),0)</f>
        <v>867925</v>
      </c>
      <c r="Q22" s="23"/>
      <c r="R22" s="13" t="s">
        <v>40</v>
      </c>
      <c r="S22" s="13">
        <v>700000</v>
      </c>
      <c r="T22" s="13">
        <f t="shared" si="0"/>
        <v>7000</v>
      </c>
      <c r="U22" s="13">
        <f>S22-T22</f>
        <v>693000</v>
      </c>
      <c r="V22" s="35" t="s">
        <v>41</v>
      </c>
      <c r="W22" s="35"/>
    </row>
    <row r="23" spans="1:23" ht="24.9" customHeight="1" x14ac:dyDescent="0.3">
      <c r="A23" s="35">
        <v>52922</v>
      </c>
      <c r="B23" s="24" t="s">
        <v>80</v>
      </c>
      <c r="C23" s="89"/>
      <c r="D23" s="101" t="s">
        <v>39</v>
      </c>
      <c r="E23" s="13">
        <f>N22</f>
        <v>211117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52">
        <f>E23</f>
        <v>211117</v>
      </c>
      <c r="Q23" s="23"/>
      <c r="R23" s="13" t="s">
        <v>42</v>
      </c>
      <c r="S23" s="13">
        <v>200000</v>
      </c>
      <c r="T23" s="13">
        <f t="shared" si="0"/>
        <v>2000</v>
      </c>
      <c r="U23" s="13">
        <f t="shared" ref="U23:U24" si="2">S23-T23</f>
        <v>198000</v>
      </c>
      <c r="V23" s="35" t="s">
        <v>43</v>
      </c>
      <c r="W23" s="35"/>
    </row>
    <row r="24" spans="1:23" ht="24.9" customHeight="1" x14ac:dyDescent="0.3">
      <c r="A24" s="35">
        <v>52922</v>
      </c>
      <c r="B24" s="24" t="s">
        <v>38</v>
      </c>
      <c r="C24" s="89">
        <v>45261</v>
      </c>
      <c r="D24" s="101">
        <v>9</v>
      </c>
      <c r="E24" s="13">
        <v>975436</v>
      </c>
      <c r="F24" s="13">
        <v>0</v>
      </c>
      <c r="G24" s="13">
        <f>E24-F24</f>
        <v>975436</v>
      </c>
      <c r="H24" s="13">
        <f>ROUND(G24*H6,0)</f>
        <v>175578</v>
      </c>
      <c r="I24" s="13">
        <f>ROUND(G24+H24,)</f>
        <v>1151014</v>
      </c>
      <c r="J24" s="13">
        <f>G24*$J$6</f>
        <v>9754.36</v>
      </c>
      <c r="K24" s="13">
        <f>G24*$K$6</f>
        <v>48771.8</v>
      </c>
      <c r="L24" s="13">
        <f>G24*$L$6</f>
        <v>97543.6</v>
      </c>
      <c r="M24" s="13">
        <f>G24*$M$6</f>
        <v>97543.6</v>
      </c>
      <c r="N24" s="52">
        <f>H24</f>
        <v>175578</v>
      </c>
      <c r="O24" s="13">
        <f>67618+57970</f>
        <v>125588</v>
      </c>
      <c r="P24" s="13">
        <f>ROUND(I24-SUM(J24:O24),0)</f>
        <v>596235</v>
      </c>
      <c r="Q24" s="23"/>
      <c r="R24" s="13"/>
      <c r="S24" s="13">
        <v>200000</v>
      </c>
      <c r="T24" s="13">
        <f t="shared" si="0"/>
        <v>2000</v>
      </c>
      <c r="U24" s="13">
        <f t="shared" si="2"/>
        <v>198000</v>
      </c>
      <c r="V24" s="35" t="s">
        <v>44</v>
      </c>
      <c r="W24" s="35"/>
    </row>
    <row r="25" spans="1:23" ht="24.9" customHeight="1" x14ac:dyDescent="0.3">
      <c r="A25" s="35">
        <v>52922</v>
      </c>
      <c r="B25" s="24"/>
      <c r="C25" s="89"/>
      <c r="D25" s="101">
        <v>9</v>
      </c>
      <c r="E25" s="13">
        <f>N24</f>
        <v>175578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52">
        <f>E25</f>
        <v>175578</v>
      </c>
      <c r="Q25" s="23"/>
      <c r="R25" s="13" t="s">
        <v>113</v>
      </c>
      <c r="S25" s="13">
        <v>600000</v>
      </c>
      <c r="T25" s="13">
        <f t="shared" si="0"/>
        <v>6000</v>
      </c>
      <c r="U25" s="13">
        <v>594000</v>
      </c>
      <c r="V25" s="35" t="s">
        <v>92</v>
      </c>
      <c r="W25" s="35"/>
    </row>
    <row r="26" spans="1:23" ht="24.9" customHeight="1" x14ac:dyDescent="0.3">
      <c r="A26" s="35">
        <v>52922</v>
      </c>
      <c r="B26" s="24"/>
      <c r="C26" s="89"/>
      <c r="D26" s="101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23"/>
      <c r="R26" s="13" t="s">
        <v>112</v>
      </c>
      <c r="S26" s="13"/>
      <c r="T26" s="13"/>
      <c r="U26" s="13">
        <v>148500</v>
      </c>
      <c r="V26" s="35" t="s">
        <v>111</v>
      </c>
      <c r="W26" s="35"/>
    </row>
    <row r="27" spans="1:23" s="16" customFormat="1" ht="24.9" customHeight="1" x14ac:dyDescent="0.3">
      <c r="A27" s="36"/>
      <c r="B27" s="17"/>
      <c r="C27" s="91"/>
      <c r="D27" s="103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30">
        <f>A28</f>
        <v>53645</v>
      </c>
      <c r="R27" s="17"/>
      <c r="S27" s="17"/>
      <c r="T27" s="17"/>
      <c r="U27" s="17"/>
      <c r="V27" s="36"/>
      <c r="W27" s="38">
        <f>SUM(P22:P26)-SUM(U22:U26)</f>
        <v>19355</v>
      </c>
    </row>
    <row r="28" spans="1:23" ht="24.9" customHeight="1" x14ac:dyDescent="0.3">
      <c r="A28" s="35">
        <v>53645</v>
      </c>
      <c r="B28" s="24" t="s">
        <v>45</v>
      </c>
      <c r="C28" s="89">
        <v>45015</v>
      </c>
      <c r="D28" s="101" t="s">
        <v>46</v>
      </c>
      <c r="E28" s="13">
        <v>780845</v>
      </c>
      <c r="F28" s="13">
        <v>0</v>
      </c>
      <c r="G28" s="13">
        <f>E28-F28</f>
        <v>780845</v>
      </c>
      <c r="H28" s="13">
        <f>ROUND(G28*H6,0)</f>
        <v>140552</v>
      </c>
      <c r="I28" s="13">
        <f>ROUND(G28+H28,)</f>
        <v>921397</v>
      </c>
      <c r="J28" s="13">
        <f>G28*$J$6</f>
        <v>7808.45</v>
      </c>
      <c r="K28" s="13">
        <f>G28*$K$6</f>
        <v>39042.25</v>
      </c>
      <c r="L28" s="13">
        <f>G28*$L$6</f>
        <v>78084.5</v>
      </c>
      <c r="M28" s="13">
        <f>G28*$M$6</f>
        <v>78084.5</v>
      </c>
      <c r="N28" s="52">
        <f>H28</f>
        <v>140552</v>
      </c>
      <c r="O28" s="13">
        <v>0</v>
      </c>
      <c r="P28" s="13">
        <f>ROUND(I28-SUM(J28:O28),0)</f>
        <v>577825</v>
      </c>
      <c r="Q28" s="23"/>
      <c r="R28" s="13" t="s">
        <v>47</v>
      </c>
      <c r="S28" s="13">
        <v>700000</v>
      </c>
      <c r="T28" s="13">
        <f t="shared" si="0"/>
        <v>7000</v>
      </c>
      <c r="U28" s="13">
        <f>S28-T28</f>
        <v>693000</v>
      </c>
      <c r="V28" s="35" t="s">
        <v>48</v>
      </c>
      <c r="W28" s="35"/>
    </row>
    <row r="29" spans="1:23" ht="24.9" customHeight="1" x14ac:dyDescent="0.3">
      <c r="A29" s="35">
        <v>53645</v>
      </c>
      <c r="B29" s="13" t="s">
        <v>80</v>
      </c>
      <c r="C29" s="92"/>
      <c r="D29" s="101" t="s">
        <v>46</v>
      </c>
      <c r="E29" s="13">
        <f>N28</f>
        <v>140552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52">
        <f>E29</f>
        <v>140552</v>
      </c>
      <c r="Q29" s="23"/>
      <c r="R29" s="13" t="s">
        <v>49</v>
      </c>
      <c r="S29" s="13">
        <v>200000</v>
      </c>
      <c r="T29" s="13">
        <f t="shared" si="0"/>
        <v>2000</v>
      </c>
      <c r="U29" s="13">
        <f t="shared" ref="U29:U30" si="3">S29-T29</f>
        <v>198000</v>
      </c>
      <c r="V29" s="35" t="s">
        <v>50</v>
      </c>
      <c r="W29" s="35"/>
    </row>
    <row r="30" spans="1:23" ht="24.9" customHeight="1" x14ac:dyDescent="0.3">
      <c r="A30" s="35">
        <v>53645</v>
      </c>
      <c r="B30" s="24" t="s">
        <v>45</v>
      </c>
      <c r="C30" s="89">
        <v>45299</v>
      </c>
      <c r="D30" s="101">
        <v>11</v>
      </c>
      <c r="E30" s="13">
        <v>202754</v>
      </c>
      <c r="F30" s="13">
        <v>0</v>
      </c>
      <c r="G30" s="13">
        <f>E30-F30</f>
        <v>202754</v>
      </c>
      <c r="H30" s="13">
        <f>ROUND(G30*H6,0)</f>
        <v>36496</v>
      </c>
      <c r="I30" s="13">
        <f>ROUND(G30+H30,)</f>
        <v>239250</v>
      </c>
      <c r="J30" s="13">
        <f>G30*$J$6</f>
        <v>2027.54</v>
      </c>
      <c r="K30" s="13">
        <f>G30*$K$6</f>
        <v>10137.700000000001</v>
      </c>
      <c r="L30" s="13">
        <f>G30*$L$6</f>
        <v>20275.400000000001</v>
      </c>
      <c r="M30" s="13">
        <f>G30*$M$6</f>
        <v>20275.400000000001</v>
      </c>
      <c r="N30" s="52">
        <f>H30</f>
        <v>36496</v>
      </c>
      <c r="O30" s="13">
        <v>13900</v>
      </c>
      <c r="P30" s="13">
        <f>ROUND(I30-SUM(J30:O30),0)</f>
        <v>136138</v>
      </c>
      <c r="Q30" s="23"/>
      <c r="R30" s="13" t="s">
        <v>85</v>
      </c>
      <c r="S30" s="13">
        <v>200000</v>
      </c>
      <c r="T30" s="13">
        <f t="shared" si="0"/>
        <v>2000</v>
      </c>
      <c r="U30" s="13">
        <f t="shared" si="3"/>
        <v>198000</v>
      </c>
      <c r="V30" s="35" t="s">
        <v>51</v>
      </c>
      <c r="W30" s="35"/>
    </row>
    <row r="31" spans="1:23" ht="24.9" customHeight="1" x14ac:dyDescent="0.3">
      <c r="A31" s="35">
        <v>53645</v>
      </c>
      <c r="B31" s="24" t="s">
        <v>80</v>
      </c>
      <c r="C31" s="89"/>
      <c r="D31" s="101">
        <v>11</v>
      </c>
      <c r="E31" s="13">
        <f>N30</f>
        <v>36496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52">
        <f>E31</f>
        <v>36496</v>
      </c>
      <c r="Q31" s="23"/>
      <c r="R31" s="13"/>
      <c r="S31" s="13"/>
      <c r="T31" s="13"/>
      <c r="U31" s="13"/>
      <c r="V31" s="35"/>
      <c r="W31" s="35"/>
    </row>
    <row r="32" spans="1:23" ht="24.9" customHeight="1" x14ac:dyDescent="0.3">
      <c r="A32" s="35">
        <v>53645</v>
      </c>
      <c r="B32" s="24" t="s">
        <v>45</v>
      </c>
      <c r="C32" s="89">
        <v>45505</v>
      </c>
      <c r="D32" s="101" t="s">
        <v>103</v>
      </c>
      <c r="E32" s="13">
        <v>82567</v>
      </c>
      <c r="F32" s="13"/>
      <c r="G32" s="13">
        <f>E32-F32</f>
        <v>82567</v>
      </c>
      <c r="H32" s="13">
        <f>ROUND(G32*H6,0)</f>
        <v>14862</v>
      </c>
      <c r="I32" s="13">
        <f>ROUND(G32+H32,)</f>
        <v>97429</v>
      </c>
      <c r="J32" s="13">
        <f>G32*$J$6</f>
        <v>825.67000000000007</v>
      </c>
      <c r="K32" s="13">
        <f>G32*$K$6</f>
        <v>4128.3500000000004</v>
      </c>
      <c r="L32" s="13">
        <f>G32*$L$6</f>
        <v>8256.7000000000007</v>
      </c>
      <c r="M32" s="13">
        <f>G32*$M$6</f>
        <v>8256.7000000000007</v>
      </c>
      <c r="N32" s="52">
        <f>H32</f>
        <v>14862</v>
      </c>
      <c r="O32" s="13">
        <v>18982</v>
      </c>
      <c r="P32" s="13">
        <f>ROUND(I32-SUM(J32:O32),0)</f>
        <v>42118</v>
      </c>
      <c r="Q32" s="53"/>
      <c r="R32" s="13"/>
      <c r="S32" s="13"/>
      <c r="T32" s="13"/>
      <c r="U32" s="13"/>
      <c r="V32" s="35"/>
      <c r="W32" s="35"/>
    </row>
    <row r="33" spans="1:23" ht="24.9" customHeight="1" x14ac:dyDescent="0.3">
      <c r="A33" s="35">
        <v>53645</v>
      </c>
      <c r="B33" s="24" t="s">
        <v>80</v>
      </c>
      <c r="C33" s="89"/>
      <c r="D33" s="101" t="s">
        <v>118</v>
      </c>
      <c r="E33" s="13">
        <f>N32</f>
        <v>14862</v>
      </c>
      <c r="F33" s="13"/>
      <c r="G33" s="13"/>
      <c r="H33" s="13"/>
      <c r="I33" s="13"/>
      <c r="J33" s="13"/>
      <c r="K33" s="13"/>
      <c r="L33" s="13"/>
      <c r="M33" s="13"/>
      <c r="N33" s="52"/>
      <c r="O33" s="13"/>
      <c r="P33" s="52">
        <f>E33</f>
        <v>14862</v>
      </c>
      <c r="Q33" s="53"/>
      <c r="R33" s="13"/>
      <c r="S33" s="13"/>
      <c r="T33" s="13"/>
      <c r="U33" s="13"/>
      <c r="V33" s="35"/>
      <c r="W33" s="35"/>
    </row>
    <row r="34" spans="1:23" s="16" customFormat="1" ht="24.9" customHeight="1" x14ac:dyDescent="0.3">
      <c r="A34" s="36"/>
      <c r="B34" s="17"/>
      <c r="C34" s="91"/>
      <c r="D34" s="103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30">
        <f>A35</f>
        <v>53646</v>
      </c>
      <c r="R34" s="17"/>
      <c r="S34" s="17"/>
      <c r="T34" s="17"/>
      <c r="U34" s="17"/>
      <c r="V34" s="36"/>
      <c r="W34" s="38">
        <f>SUM(P28:P32)-SUM(U28:U32)</f>
        <v>-155871</v>
      </c>
    </row>
    <row r="35" spans="1:23" ht="24.9" customHeight="1" x14ac:dyDescent="0.3">
      <c r="A35" s="35">
        <v>53646</v>
      </c>
      <c r="B35" s="13" t="s">
        <v>144</v>
      </c>
      <c r="C35" s="92">
        <v>45505</v>
      </c>
      <c r="D35" s="104" t="s">
        <v>101</v>
      </c>
      <c r="E35" s="13">
        <v>1120527</v>
      </c>
      <c r="F35" s="13"/>
      <c r="G35" s="13">
        <f>E35-F35</f>
        <v>1120527</v>
      </c>
      <c r="H35" s="13">
        <f>ROUND(G35*H6,0)</f>
        <v>201695</v>
      </c>
      <c r="I35" s="13">
        <f>ROUND(G35+H35,)</f>
        <v>1322222</v>
      </c>
      <c r="J35" s="13">
        <f>G35*$J$6</f>
        <v>11205.27</v>
      </c>
      <c r="K35" s="13">
        <f>G35*$K$6</f>
        <v>56026.350000000006</v>
      </c>
      <c r="L35" s="13">
        <f>G35*$L$6</f>
        <v>112052.70000000001</v>
      </c>
      <c r="M35" s="13">
        <f>G35*$M$6</f>
        <v>112052.70000000001</v>
      </c>
      <c r="N35" s="52">
        <f>H35</f>
        <v>201695</v>
      </c>
      <c r="O35" s="13">
        <v>0</v>
      </c>
      <c r="P35" s="13">
        <f>ROUND(I35-SUM(J35:O35),0)</f>
        <v>829190</v>
      </c>
      <c r="Q35" s="53"/>
      <c r="R35" s="13" t="s">
        <v>52</v>
      </c>
      <c r="S35" s="13">
        <v>700000</v>
      </c>
      <c r="T35" s="13">
        <f t="shared" si="0"/>
        <v>7000</v>
      </c>
      <c r="U35" s="13">
        <f t="shared" ref="U35:U36" si="4">S35-T35</f>
        <v>693000</v>
      </c>
      <c r="V35" s="39" t="s">
        <v>53</v>
      </c>
      <c r="W35" s="35"/>
    </row>
    <row r="36" spans="1:23" ht="24.9" customHeight="1" x14ac:dyDescent="0.3">
      <c r="A36" s="35">
        <v>53646</v>
      </c>
      <c r="B36" s="24" t="s">
        <v>80</v>
      </c>
      <c r="C36" s="89"/>
      <c r="D36" s="101" t="s">
        <v>101</v>
      </c>
      <c r="E36" s="13">
        <f>N35</f>
        <v>201695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52">
        <f>E36</f>
        <v>201695</v>
      </c>
      <c r="Q36" s="23"/>
      <c r="R36" s="13" t="s">
        <v>54</v>
      </c>
      <c r="S36" s="13">
        <v>100000</v>
      </c>
      <c r="T36" s="13">
        <f t="shared" si="0"/>
        <v>1000</v>
      </c>
      <c r="U36" s="13">
        <f t="shared" si="4"/>
        <v>99000</v>
      </c>
      <c r="V36" s="39" t="s">
        <v>55</v>
      </c>
      <c r="W36" s="35"/>
    </row>
    <row r="37" spans="1:23" ht="24.9" customHeight="1" x14ac:dyDescent="0.3">
      <c r="A37" s="35">
        <v>53646</v>
      </c>
      <c r="B37" s="13"/>
      <c r="C37" s="92"/>
      <c r="D37" s="104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23"/>
      <c r="R37" s="13" t="s">
        <v>47</v>
      </c>
      <c r="S37" s="13">
        <v>200000</v>
      </c>
      <c r="T37" s="13">
        <f t="shared" si="0"/>
        <v>2000</v>
      </c>
      <c r="U37" s="13">
        <f>S37-T37</f>
        <v>198000</v>
      </c>
      <c r="V37" s="39" t="s">
        <v>73</v>
      </c>
      <c r="W37" s="35"/>
    </row>
    <row r="38" spans="1:23" ht="24.9" customHeight="1" x14ac:dyDescent="0.3">
      <c r="A38" s="35">
        <v>53646</v>
      </c>
      <c r="B38" s="13"/>
      <c r="C38" s="92"/>
      <c r="D38" s="104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23"/>
      <c r="R38" s="13"/>
      <c r="S38" s="13">
        <v>300000</v>
      </c>
      <c r="T38" s="13">
        <v>3000</v>
      </c>
      <c r="U38" s="13">
        <v>297000</v>
      </c>
      <c r="V38" s="54" t="s">
        <v>108</v>
      </c>
      <c r="W38" s="35"/>
    </row>
    <row r="39" spans="1:23" ht="24.9" customHeight="1" x14ac:dyDescent="0.3">
      <c r="A39" s="35">
        <v>53646</v>
      </c>
      <c r="B39" s="13"/>
      <c r="C39" s="92"/>
      <c r="D39" s="104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23"/>
      <c r="R39" s="13"/>
      <c r="S39" s="13">
        <v>200000</v>
      </c>
      <c r="T39" s="13">
        <f t="shared" ref="T39" si="5">S39*$T$6</f>
        <v>2000</v>
      </c>
      <c r="U39" s="13">
        <f>S39-T39</f>
        <v>198000</v>
      </c>
      <c r="V39" s="54" t="s">
        <v>115</v>
      </c>
      <c r="W39" s="35"/>
    </row>
    <row r="40" spans="1:23" s="16" customFormat="1" ht="24.9" customHeight="1" x14ac:dyDescent="0.3">
      <c r="A40" s="36"/>
      <c r="B40" s="17"/>
      <c r="C40" s="91"/>
      <c r="D40" s="103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30">
        <f>A41</f>
        <v>53647</v>
      </c>
      <c r="R40" s="17"/>
      <c r="S40" s="17"/>
      <c r="T40" s="17"/>
      <c r="U40" s="17"/>
      <c r="V40" s="36"/>
      <c r="W40" s="38">
        <f>SUM(P35:P39)-SUM(U35:U39)</f>
        <v>-454115</v>
      </c>
    </row>
    <row r="41" spans="1:23" ht="24.9" customHeight="1" x14ac:dyDescent="0.3">
      <c r="A41" s="35">
        <v>53647</v>
      </c>
      <c r="B41" s="13" t="s">
        <v>56</v>
      </c>
      <c r="C41" s="89">
        <v>45014</v>
      </c>
      <c r="D41" s="104" t="s">
        <v>57</v>
      </c>
      <c r="E41" s="13">
        <v>1145833.5</v>
      </c>
      <c r="F41" s="13">
        <v>0</v>
      </c>
      <c r="G41" s="13">
        <f>E41-F41</f>
        <v>1145833.5</v>
      </c>
      <c r="H41" s="13">
        <f>ROUND(G41*H6,0)</f>
        <v>206250</v>
      </c>
      <c r="I41" s="13">
        <f>ROUND(G41+H41,)</f>
        <v>1352084</v>
      </c>
      <c r="J41" s="13">
        <f>G41*$J$6</f>
        <v>11458.335000000001</v>
      </c>
      <c r="K41" s="13">
        <f>G41*$K$6</f>
        <v>57291.675000000003</v>
      </c>
      <c r="L41" s="13">
        <f>G41*$L$6</f>
        <v>114583.35</v>
      </c>
      <c r="M41" s="13">
        <f>G41*$M$6</f>
        <v>114583.35</v>
      </c>
      <c r="N41" s="52">
        <f>H41</f>
        <v>206250</v>
      </c>
      <c r="O41" s="13">
        <v>0</v>
      </c>
      <c r="P41" s="13">
        <f>ROUND(I41-SUM(J41:O41),0)</f>
        <v>847917</v>
      </c>
      <c r="Q41" s="23"/>
      <c r="R41" s="13" t="s">
        <v>58</v>
      </c>
      <c r="S41" s="13">
        <v>700000</v>
      </c>
      <c r="T41" s="13">
        <f>S41*$T$6</f>
        <v>7000</v>
      </c>
      <c r="U41" s="13">
        <f>S41-T41</f>
        <v>693000</v>
      </c>
      <c r="V41" s="35" t="s">
        <v>59</v>
      </c>
      <c r="W41" s="35"/>
    </row>
    <row r="42" spans="1:23" ht="24.9" customHeight="1" x14ac:dyDescent="0.3">
      <c r="A42" s="35">
        <v>53647</v>
      </c>
      <c r="B42" s="13" t="s">
        <v>80</v>
      </c>
      <c r="C42" s="92"/>
      <c r="D42" s="104" t="s">
        <v>57</v>
      </c>
      <c r="E42" s="13">
        <f>N41</f>
        <v>206250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52">
        <f>E42</f>
        <v>206250</v>
      </c>
      <c r="Q42" s="23"/>
      <c r="R42" s="13" t="s">
        <v>60</v>
      </c>
      <c r="S42" s="13">
        <v>200000</v>
      </c>
      <c r="T42" s="13">
        <f>S42*$T$6</f>
        <v>2000</v>
      </c>
      <c r="U42" s="13">
        <f t="shared" ref="U42:U43" si="6">S42-T42</f>
        <v>198000</v>
      </c>
      <c r="V42" s="35" t="s">
        <v>61</v>
      </c>
      <c r="W42" s="35"/>
    </row>
    <row r="43" spans="1:23" ht="24.9" customHeight="1" x14ac:dyDescent="0.3">
      <c r="A43" s="35">
        <v>53647</v>
      </c>
      <c r="B43" s="13" t="s">
        <v>56</v>
      </c>
      <c r="C43" s="89">
        <v>45505</v>
      </c>
      <c r="D43" s="101" t="s">
        <v>102</v>
      </c>
      <c r="E43" s="13">
        <v>512668</v>
      </c>
      <c r="F43" s="13"/>
      <c r="G43" s="13">
        <f>E43-F43</f>
        <v>512668</v>
      </c>
      <c r="H43" s="13">
        <f>ROUND(G43*H6,0)</f>
        <v>92280</v>
      </c>
      <c r="I43" s="13">
        <f>ROUND(G43+H43,)</f>
        <v>604948</v>
      </c>
      <c r="J43" s="13">
        <f>G43*$J$6</f>
        <v>5126.68</v>
      </c>
      <c r="K43" s="13">
        <f>G43*$K$6</f>
        <v>25633.4</v>
      </c>
      <c r="L43" s="13">
        <f>G43*$L$6</f>
        <v>51266.8</v>
      </c>
      <c r="M43" s="13">
        <f>G43*$M$6</f>
        <v>51266.8</v>
      </c>
      <c r="N43" s="52">
        <f>H43</f>
        <v>92280</v>
      </c>
      <c r="O43" s="13">
        <v>14601</v>
      </c>
      <c r="P43" s="13">
        <f>ROUND(I43-SUM(J43:O43),0)</f>
        <v>364773</v>
      </c>
      <c r="Q43" s="53"/>
      <c r="R43" s="13"/>
      <c r="S43" s="13">
        <v>200000</v>
      </c>
      <c r="T43" s="13">
        <f>S43*$T$6</f>
        <v>2000</v>
      </c>
      <c r="U43" s="13">
        <f t="shared" si="6"/>
        <v>198000</v>
      </c>
      <c r="V43" s="35" t="s">
        <v>62</v>
      </c>
      <c r="W43" s="35"/>
    </row>
    <row r="44" spans="1:23" ht="24.9" customHeight="1" x14ac:dyDescent="0.3">
      <c r="A44" s="35">
        <v>53647</v>
      </c>
      <c r="B44" s="24" t="s">
        <v>80</v>
      </c>
      <c r="C44" s="89"/>
      <c r="D44" s="101" t="s">
        <v>102</v>
      </c>
      <c r="E44" s="13">
        <f>N43</f>
        <v>92280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52">
        <f>E44</f>
        <v>92280</v>
      </c>
      <c r="Q44" s="23"/>
      <c r="R44" s="13"/>
      <c r="S44" s="13">
        <v>250000</v>
      </c>
      <c r="T44" s="13">
        <f>S44-U44</f>
        <v>2500</v>
      </c>
      <c r="U44" s="13">
        <v>247500</v>
      </c>
      <c r="V44" s="54" t="s">
        <v>109</v>
      </c>
      <c r="W44" s="35"/>
    </row>
    <row r="45" spans="1:23" ht="24.9" customHeight="1" x14ac:dyDescent="0.3">
      <c r="A45" s="35"/>
      <c r="B45" s="24"/>
      <c r="C45" s="89"/>
      <c r="D45" s="101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3"/>
      <c r="R45" s="13"/>
      <c r="S45" s="13">
        <v>100000</v>
      </c>
      <c r="T45" s="13">
        <f>S45-U45</f>
        <v>1000</v>
      </c>
      <c r="U45" s="13">
        <v>99000</v>
      </c>
      <c r="V45" s="54" t="s">
        <v>116</v>
      </c>
      <c r="W45" s="35"/>
    </row>
    <row r="46" spans="1:23" s="16" customFormat="1" ht="24.9" customHeight="1" x14ac:dyDescent="0.3">
      <c r="A46" s="36"/>
      <c r="B46" s="26"/>
      <c r="C46" s="90"/>
      <c r="D46" s="102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30">
        <f>A47</f>
        <v>53648</v>
      </c>
      <c r="R46" s="17"/>
      <c r="S46" s="17"/>
      <c r="T46" s="17"/>
      <c r="U46" s="17"/>
      <c r="V46" s="36"/>
      <c r="W46" s="38">
        <f>SUM(P41:P45)-SUM(U41:U45)</f>
        <v>75720</v>
      </c>
    </row>
    <row r="47" spans="1:23" ht="24.9" customHeight="1" x14ac:dyDescent="0.3">
      <c r="A47" s="35">
        <v>53648</v>
      </c>
      <c r="B47" s="24" t="s">
        <v>63</v>
      </c>
      <c r="C47" s="89">
        <v>45015</v>
      </c>
      <c r="D47" s="101" t="s">
        <v>64</v>
      </c>
      <c r="E47" s="13">
        <v>1278543</v>
      </c>
      <c r="F47" s="13">
        <v>0</v>
      </c>
      <c r="G47" s="13">
        <f>E47-F47</f>
        <v>1278543</v>
      </c>
      <c r="H47" s="13">
        <f>ROUND(G47*H6,0)</f>
        <v>230138</v>
      </c>
      <c r="I47" s="13">
        <f>ROUND(G47+H47,)</f>
        <v>1508681</v>
      </c>
      <c r="J47" s="13">
        <f>G47*$J$6</f>
        <v>12785.43</v>
      </c>
      <c r="K47" s="13">
        <f>G47*$K$6</f>
        <v>63927.15</v>
      </c>
      <c r="L47" s="13">
        <f>G47*$L$6</f>
        <v>127854.3</v>
      </c>
      <c r="M47" s="13">
        <f>G47*$M$6</f>
        <v>127854.3</v>
      </c>
      <c r="N47" s="52">
        <f>H47</f>
        <v>230138</v>
      </c>
      <c r="O47" s="13">
        <v>0</v>
      </c>
      <c r="P47" s="13">
        <f>ROUND(I47-SUM(J47:O47),0)</f>
        <v>946122</v>
      </c>
      <c r="Q47" s="23"/>
      <c r="R47" s="13" t="s">
        <v>65</v>
      </c>
      <c r="S47" s="13">
        <v>700000</v>
      </c>
      <c r="T47" s="13">
        <f>S47*$T$6</f>
        <v>7000</v>
      </c>
      <c r="U47" s="13">
        <f>S47-T47</f>
        <v>693000</v>
      </c>
      <c r="V47" s="35" t="s">
        <v>66</v>
      </c>
      <c r="W47" s="35"/>
    </row>
    <row r="48" spans="1:23" ht="24.9" customHeight="1" x14ac:dyDescent="0.3">
      <c r="A48" s="35">
        <v>53648</v>
      </c>
      <c r="B48" s="13" t="s">
        <v>80</v>
      </c>
      <c r="C48" s="92"/>
      <c r="D48" s="101" t="s">
        <v>64</v>
      </c>
      <c r="E48" s="13">
        <f>N47</f>
        <v>230138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52">
        <f>E48</f>
        <v>230138</v>
      </c>
      <c r="Q48" s="23"/>
      <c r="R48" s="13"/>
      <c r="S48" s="13">
        <v>400000</v>
      </c>
      <c r="T48" s="13">
        <f>S48*$T$6</f>
        <v>4000</v>
      </c>
      <c r="U48" s="13">
        <f>S48-T48</f>
        <v>396000</v>
      </c>
      <c r="V48" s="35" t="s">
        <v>67</v>
      </c>
      <c r="W48" s="35"/>
    </row>
    <row r="49" spans="1:23" s="16" customFormat="1" ht="24.9" customHeight="1" x14ac:dyDescent="0.3">
      <c r="A49" s="36"/>
      <c r="B49" s="17"/>
      <c r="C49" s="91"/>
      <c r="D49" s="103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30">
        <f>A50</f>
        <v>56218</v>
      </c>
      <c r="R49" s="17"/>
      <c r="S49" s="17"/>
      <c r="T49" s="17"/>
      <c r="U49" s="17"/>
      <c r="V49" s="36"/>
      <c r="W49" s="38">
        <f>SUM(P47:P48)-SUM(U47:U48)</f>
        <v>87260</v>
      </c>
    </row>
    <row r="50" spans="1:23" ht="24.9" customHeight="1" x14ac:dyDescent="0.3">
      <c r="A50" s="35">
        <v>56218</v>
      </c>
      <c r="B50" s="24" t="s">
        <v>68</v>
      </c>
      <c r="C50" s="89">
        <v>45021</v>
      </c>
      <c r="D50" s="101" t="s">
        <v>69</v>
      </c>
      <c r="E50" s="13">
        <v>599669</v>
      </c>
      <c r="F50" s="13">
        <v>0</v>
      </c>
      <c r="G50" s="13">
        <f>E50-F50</f>
        <v>599669</v>
      </c>
      <c r="H50" s="13">
        <f>ROUND(G50*H6,0)</f>
        <v>107940</v>
      </c>
      <c r="I50" s="13">
        <f>ROUND(G50+H50,)</f>
        <v>707609</v>
      </c>
      <c r="J50" s="13">
        <f>G50*$J$6</f>
        <v>5996.6900000000005</v>
      </c>
      <c r="K50" s="13">
        <f>G50*$K$6</f>
        <v>29983.45</v>
      </c>
      <c r="L50" s="13">
        <f>G50*$L$6</f>
        <v>59966.9</v>
      </c>
      <c r="M50" s="13">
        <f>G50*$M$6</f>
        <v>59966.9</v>
      </c>
      <c r="N50" s="52">
        <f>H50</f>
        <v>107940</v>
      </c>
      <c r="O50" s="13">
        <v>0</v>
      </c>
      <c r="P50" s="13">
        <f>ROUND(I50-SUM(J50:O50),0)</f>
        <v>443755</v>
      </c>
      <c r="Q50" s="23"/>
      <c r="R50" s="13" t="s">
        <v>70</v>
      </c>
      <c r="S50" s="13">
        <v>443755</v>
      </c>
      <c r="T50" s="13"/>
      <c r="U50" s="13">
        <f>S50-T50</f>
        <v>443755</v>
      </c>
      <c r="V50" s="37" t="s">
        <v>71</v>
      </c>
      <c r="W50" s="35"/>
    </row>
    <row r="51" spans="1:23" ht="24.9" customHeight="1" x14ac:dyDescent="0.3">
      <c r="A51" s="35">
        <v>56218</v>
      </c>
      <c r="B51" s="13" t="s">
        <v>80</v>
      </c>
      <c r="C51" s="92"/>
      <c r="D51" s="101" t="s">
        <v>64</v>
      </c>
      <c r="E51" s="13">
        <f>N50</f>
        <v>107940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52">
        <f>E51</f>
        <v>107940</v>
      </c>
      <c r="Q51" s="23"/>
      <c r="R51" s="13" t="s">
        <v>76</v>
      </c>
      <c r="S51" s="13">
        <v>400000</v>
      </c>
      <c r="T51" s="13">
        <f>S51*$T$6</f>
        <v>4000</v>
      </c>
      <c r="U51" s="13">
        <f>S51-T51</f>
        <v>396000</v>
      </c>
      <c r="V51" s="35" t="s">
        <v>74</v>
      </c>
      <c r="W51" s="35"/>
    </row>
    <row r="52" spans="1:23" ht="24.9" customHeight="1" x14ac:dyDescent="0.3">
      <c r="A52" s="35">
        <v>56218</v>
      </c>
      <c r="B52" s="24" t="s">
        <v>68</v>
      </c>
      <c r="C52" s="89">
        <v>45299</v>
      </c>
      <c r="D52" s="101">
        <v>10</v>
      </c>
      <c r="E52" s="13">
        <v>133107</v>
      </c>
      <c r="F52" s="13">
        <v>0</v>
      </c>
      <c r="G52" s="13">
        <f>E52-F52</f>
        <v>133107</v>
      </c>
      <c r="H52" s="13">
        <f>ROUND(G52*H6,0)</f>
        <v>23959</v>
      </c>
      <c r="I52" s="13">
        <f>ROUND(G52+H52,)</f>
        <v>157066</v>
      </c>
      <c r="J52" s="13">
        <f>G52*$J$6</f>
        <v>1331.07</v>
      </c>
      <c r="K52" s="13">
        <f>G52*$K$6</f>
        <v>6655.35</v>
      </c>
      <c r="L52" s="13">
        <f>G52*$L$6</f>
        <v>13310.7</v>
      </c>
      <c r="M52" s="13">
        <f>G52*$M$6</f>
        <v>13310.7</v>
      </c>
      <c r="N52" s="52">
        <f>H52</f>
        <v>23959</v>
      </c>
      <c r="O52" s="13">
        <v>1605</v>
      </c>
      <c r="P52" s="13">
        <f>ROUND(I52-SUM(J52:O52),0)</f>
        <v>96894</v>
      </c>
      <c r="Q52" s="23"/>
      <c r="R52" s="13" t="s">
        <v>77</v>
      </c>
      <c r="S52" s="13">
        <v>500000</v>
      </c>
      <c r="T52" s="13">
        <f>S52*$T$6</f>
        <v>5000</v>
      </c>
      <c r="U52" s="13">
        <f>S52-T52</f>
        <v>495000</v>
      </c>
      <c r="V52" s="35" t="s">
        <v>75</v>
      </c>
      <c r="W52" s="35"/>
    </row>
    <row r="53" spans="1:23" ht="24.9" customHeight="1" x14ac:dyDescent="0.3">
      <c r="A53" s="35">
        <v>56218</v>
      </c>
      <c r="B53" s="24" t="s">
        <v>80</v>
      </c>
      <c r="C53" s="89"/>
      <c r="D53" s="101">
        <v>10</v>
      </c>
      <c r="E53" s="13">
        <f>N52</f>
        <v>23959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52">
        <f>E53</f>
        <v>23959</v>
      </c>
      <c r="Q53" s="23"/>
      <c r="R53" s="13"/>
      <c r="S53" s="13"/>
      <c r="T53" s="13"/>
      <c r="U53" s="13"/>
      <c r="V53" s="35"/>
      <c r="W53" s="35"/>
    </row>
    <row r="54" spans="1:23" s="16" customFormat="1" ht="24.9" customHeight="1" x14ac:dyDescent="0.2">
      <c r="A54" s="36"/>
      <c r="B54" s="17"/>
      <c r="C54" s="91"/>
      <c r="D54" s="103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30">
        <f>A55</f>
        <v>57013</v>
      </c>
      <c r="R54" s="17"/>
      <c r="S54" s="17"/>
      <c r="T54" s="17"/>
      <c r="U54" s="17"/>
      <c r="V54" s="40"/>
      <c r="W54" s="38">
        <f>SUM(P50:P53)-SUM(U50:U53)</f>
        <v>-662207</v>
      </c>
    </row>
    <row r="55" spans="1:23" ht="24.9" customHeight="1" x14ac:dyDescent="0.3">
      <c r="A55" s="35">
        <v>57013</v>
      </c>
      <c r="B55" s="13" t="s">
        <v>78</v>
      </c>
      <c r="C55" s="92">
        <v>45041</v>
      </c>
      <c r="D55" s="104" t="s">
        <v>79</v>
      </c>
      <c r="E55" s="13">
        <v>1597771</v>
      </c>
      <c r="F55" s="13">
        <v>0</v>
      </c>
      <c r="G55" s="13">
        <f>E55-F55</f>
        <v>1597771</v>
      </c>
      <c r="H55" s="13">
        <f>G55*18%</f>
        <v>287598.77999999997</v>
      </c>
      <c r="I55" s="13">
        <f>G55+H55</f>
        <v>1885369.78</v>
      </c>
      <c r="J55" s="13">
        <f>G55*1%</f>
        <v>15977.710000000001</v>
      </c>
      <c r="K55" s="13">
        <f>G55*5%</f>
        <v>79888.55</v>
      </c>
      <c r="L55" s="13">
        <f>G55*10%</f>
        <v>159777.1</v>
      </c>
      <c r="M55" s="13">
        <f>G55*10%</f>
        <v>159777.1</v>
      </c>
      <c r="N55" s="52">
        <f>H55</f>
        <v>287598.77999999997</v>
      </c>
      <c r="O55" s="13">
        <v>74885</v>
      </c>
      <c r="P55" s="13">
        <f>I55-J55-K55-L55-M55-N55-O55</f>
        <v>1107465.5399999998</v>
      </c>
      <c r="Q55" s="23"/>
      <c r="R55" s="13" t="s">
        <v>77</v>
      </c>
      <c r="S55" s="13">
        <v>50000</v>
      </c>
      <c r="T55" s="13">
        <f>S55*$T$6</f>
        <v>500</v>
      </c>
      <c r="U55" s="13">
        <f>S55-T55</f>
        <v>49500</v>
      </c>
      <c r="V55" s="35" t="s">
        <v>86</v>
      </c>
      <c r="W55" s="35"/>
    </row>
    <row r="56" spans="1:23" ht="24.9" customHeight="1" x14ac:dyDescent="0.3">
      <c r="A56" s="35">
        <v>57013</v>
      </c>
      <c r="B56" s="13"/>
      <c r="C56" s="92"/>
      <c r="D56" s="104" t="s">
        <v>93</v>
      </c>
      <c r="E56" s="13">
        <f>N55</f>
        <v>287598.77999999997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52">
        <f>E56</f>
        <v>287598.77999999997</v>
      </c>
      <c r="Q56" s="23"/>
      <c r="R56" s="13" t="s">
        <v>77</v>
      </c>
      <c r="S56" s="13">
        <v>400000</v>
      </c>
      <c r="T56" s="13">
        <f>S56*$T$6</f>
        <v>4000</v>
      </c>
      <c r="U56" s="13">
        <f>S56-T56</f>
        <v>396000</v>
      </c>
      <c r="V56" s="35" t="s">
        <v>87</v>
      </c>
      <c r="W56" s="35"/>
    </row>
    <row r="57" spans="1:23" ht="24.9" customHeight="1" x14ac:dyDescent="0.3">
      <c r="A57" s="35">
        <v>57013</v>
      </c>
      <c r="B57" s="13"/>
      <c r="C57" s="92"/>
      <c r="D57" s="104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23"/>
      <c r="R57" s="13" t="s">
        <v>77</v>
      </c>
      <c r="S57" s="13">
        <v>500000</v>
      </c>
      <c r="T57" s="13">
        <f>S57*$T$6</f>
        <v>5000</v>
      </c>
      <c r="U57" s="13">
        <f>S57-T57</f>
        <v>495000</v>
      </c>
      <c r="V57" s="35" t="s">
        <v>89</v>
      </c>
      <c r="W57" s="35"/>
    </row>
    <row r="58" spans="1:23" ht="24.9" customHeight="1" x14ac:dyDescent="0.3">
      <c r="A58" s="35">
        <v>57013</v>
      </c>
      <c r="B58" s="13"/>
      <c r="C58" s="92"/>
      <c r="D58" s="104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23"/>
      <c r="R58" s="13"/>
      <c r="S58" s="13">
        <v>500000</v>
      </c>
      <c r="T58" s="13">
        <f>S58*$T$6</f>
        <v>5000</v>
      </c>
      <c r="U58" s="13">
        <v>495000</v>
      </c>
      <c r="V58" s="35" t="s">
        <v>90</v>
      </c>
      <c r="W58" s="35"/>
    </row>
    <row r="59" spans="1:23" s="16" customFormat="1" ht="24.9" customHeight="1" x14ac:dyDescent="0.2">
      <c r="A59" s="36"/>
      <c r="B59" s="17"/>
      <c r="C59" s="91"/>
      <c r="D59" s="103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30"/>
      <c r="R59" s="17"/>
      <c r="S59" s="17"/>
      <c r="T59" s="17"/>
      <c r="U59" s="17"/>
      <c r="V59" s="40"/>
      <c r="W59" s="38">
        <f>SUM(P55:P59)-SUM(U55:U59)</f>
        <v>-40435.680000000168</v>
      </c>
    </row>
    <row r="60" spans="1:23" ht="24.9" customHeight="1" x14ac:dyDescent="0.3">
      <c r="A60" s="35"/>
      <c r="B60" s="13"/>
      <c r="C60" s="92"/>
      <c r="D60" s="104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23"/>
      <c r="R60" s="13"/>
      <c r="S60" s="13"/>
      <c r="T60" s="13"/>
      <c r="U60" s="13"/>
      <c r="V60" s="35"/>
      <c r="W60" s="35"/>
    </row>
    <row r="61" spans="1:23" ht="24.9" customHeight="1" x14ac:dyDescent="0.3">
      <c r="A61" s="35"/>
      <c r="B61" s="13"/>
      <c r="C61" s="92"/>
      <c r="D61" s="104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23"/>
      <c r="R61" s="13"/>
      <c r="S61" s="13"/>
      <c r="T61" s="13"/>
      <c r="U61" s="13"/>
      <c r="V61" s="35"/>
      <c r="W61" s="35"/>
    </row>
    <row r="62" spans="1:23" ht="24.9" customHeight="1" x14ac:dyDescent="0.3">
      <c r="A62" s="35"/>
      <c r="B62" s="13"/>
      <c r="C62" s="92"/>
      <c r="D62" s="104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3"/>
      <c r="R62" s="13"/>
      <c r="S62" s="13"/>
      <c r="T62" s="13"/>
      <c r="U62" s="13"/>
      <c r="V62" s="35"/>
      <c r="W62" s="35"/>
    </row>
    <row r="63" spans="1:23" ht="24.9" customHeight="1" thickBot="1" x14ac:dyDescent="0.35">
      <c r="A63" s="48"/>
      <c r="B63" s="32"/>
      <c r="C63" s="93"/>
      <c r="D63" s="105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3"/>
      <c r="R63" s="32"/>
      <c r="S63" s="32"/>
      <c r="T63" s="32"/>
      <c r="U63" s="32"/>
      <c r="V63" s="48"/>
      <c r="W63" s="48"/>
    </row>
    <row r="64" spans="1:23" ht="24.9" customHeight="1" x14ac:dyDescent="0.3">
      <c r="A64" s="49"/>
      <c r="B64" s="49"/>
      <c r="C64" s="94"/>
      <c r="D64" s="106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50" t="s">
        <v>20</v>
      </c>
      <c r="S64" s="50"/>
      <c r="T64" s="34"/>
      <c r="U64" s="50">
        <f>SUM(U6:U63)</f>
        <v>13759255</v>
      </c>
      <c r="V64" s="49"/>
      <c r="W64" s="50">
        <f>SUM(W7:W60)</f>
        <v>-2010599.6800000002</v>
      </c>
    </row>
    <row r="65" spans="1:23" ht="24.9" customHeight="1" thickBot="1" x14ac:dyDescent="0.35">
      <c r="A65" s="14"/>
      <c r="B65" s="14"/>
      <c r="C65" s="87"/>
      <c r="D65" s="99"/>
      <c r="E65" s="14"/>
      <c r="F65" s="14"/>
      <c r="G65" s="14"/>
      <c r="H65" s="14"/>
      <c r="I65" s="14"/>
      <c r="J65" s="14"/>
      <c r="K65" s="41">
        <f t="shared" ref="K65:O65" si="7">SUM(K8:K60)</f>
        <v>673925.67499999993</v>
      </c>
      <c r="L65" s="41">
        <f t="shared" si="7"/>
        <v>1347851.3499999999</v>
      </c>
      <c r="M65" s="41">
        <f t="shared" si="7"/>
        <v>1347851.3499999999</v>
      </c>
      <c r="N65" s="41">
        <f t="shared" si="7"/>
        <v>2426132.7799999998</v>
      </c>
      <c r="O65" s="41">
        <f t="shared" si="7"/>
        <v>636717</v>
      </c>
      <c r="P65" s="41">
        <f>SUM(P8:P60)</f>
        <v>11763517.319999998</v>
      </c>
      <c r="Q65" s="41"/>
      <c r="R65" s="41" t="s">
        <v>21</v>
      </c>
      <c r="S65" s="14"/>
      <c r="T65" s="42"/>
      <c r="U65" s="41">
        <f>P65-U64</f>
        <v>-1995737.6800000016</v>
      </c>
      <c r="V65" s="14"/>
      <c r="W65" s="42"/>
    </row>
    <row r="66" spans="1:23" ht="24.9" customHeight="1" x14ac:dyDescent="0.3">
      <c r="U66" s="51">
        <f>P43+P35+P32+P9</f>
        <v>1433623</v>
      </c>
    </row>
    <row r="67" spans="1:23" ht="24.9" customHeight="1" thickBot="1" x14ac:dyDescent="0.35">
      <c r="O67" s="51">
        <f>K65+L65+M65</f>
        <v>3369628.375</v>
      </c>
    </row>
    <row r="68" spans="1:23" ht="24.9" customHeight="1" thickBot="1" x14ac:dyDescent="0.35">
      <c r="J68" s="69" t="s">
        <v>24</v>
      </c>
      <c r="K68" s="70"/>
      <c r="L68" s="70"/>
      <c r="M68" s="71"/>
    </row>
    <row r="69" spans="1:23" ht="24.9" customHeight="1" thickBot="1" x14ac:dyDescent="0.35">
      <c r="J69" s="72" t="s">
        <v>119</v>
      </c>
      <c r="K69" s="73"/>
      <c r="L69" s="73"/>
      <c r="M69" s="74"/>
    </row>
    <row r="70" spans="1:23" ht="24.9" customHeight="1" thickBot="1" x14ac:dyDescent="0.35">
      <c r="J70" s="63" t="s">
        <v>81</v>
      </c>
      <c r="K70" s="64"/>
      <c r="L70" s="65">
        <f>K65+L65+M65</f>
        <v>3369628.375</v>
      </c>
      <c r="M70" s="66"/>
    </row>
    <row r="71" spans="1:23" ht="24.9" customHeight="1" thickBot="1" x14ac:dyDescent="0.35">
      <c r="J71" s="63" t="s">
        <v>82</v>
      </c>
      <c r="K71" s="64"/>
      <c r="L71" s="65">
        <f>U65</f>
        <v>-1995737.6800000016</v>
      </c>
      <c r="M71" s="66"/>
      <c r="N71" s="60">
        <f>L70+L72</f>
        <v>4006345.375</v>
      </c>
    </row>
    <row r="72" spans="1:23" ht="24.9" customHeight="1" thickBot="1" x14ac:dyDescent="0.35">
      <c r="J72" s="63" t="s">
        <v>96</v>
      </c>
      <c r="K72" s="64"/>
      <c r="L72" s="65">
        <f>O65</f>
        <v>636717</v>
      </c>
      <c r="M72" s="66"/>
    </row>
    <row r="73" spans="1:23" ht="24.9" customHeight="1" thickBot="1" x14ac:dyDescent="0.35">
      <c r="J73" s="63" t="s">
        <v>83</v>
      </c>
      <c r="K73" s="64"/>
      <c r="L73" s="65">
        <f>N65-P56-P53-P51-P48-P44-P42-P36-P33-P31-P29-P25-P23-P19-P15-P13-P10</f>
        <v>0</v>
      </c>
      <c r="M73" s="66"/>
    </row>
    <row r="74" spans="1:23" ht="24.9" customHeight="1" thickBot="1" x14ac:dyDescent="0.35">
      <c r="J74" s="63" t="s">
        <v>105</v>
      </c>
      <c r="K74" s="64"/>
      <c r="L74" s="65">
        <v>-2100000</v>
      </c>
      <c r="M74" s="66"/>
    </row>
    <row r="75" spans="1:23" ht="24.9" customHeight="1" x14ac:dyDescent="0.3">
      <c r="L75" s="62">
        <f>L70+L71+L72+L74</f>
        <v>-89392.305000001565</v>
      </c>
      <c r="M75" s="62"/>
    </row>
  </sheetData>
  <mergeCells count="14">
    <mergeCell ref="L75:M75"/>
    <mergeCell ref="J70:K70"/>
    <mergeCell ref="L70:M70"/>
    <mergeCell ref="W5:W6"/>
    <mergeCell ref="J68:M68"/>
    <mergeCell ref="J69:M69"/>
    <mergeCell ref="J73:K73"/>
    <mergeCell ref="L73:M73"/>
    <mergeCell ref="J71:K71"/>
    <mergeCell ref="L71:M71"/>
    <mergeCell ref="J72:K72"/>
    <mergeCell ref="L72:M72"/>
    <mergeCell ref="J74:K74"/>
    <mergeCell ref="L74:M74"/>
  </mergeCells>
  <pageMargins left="0.11811023622047245" right="0.11811023622047245" top="0.15748031496062992" bottom="0.15748031496062992" header="0.31496062992125984" footer="0.31496062992125984"/>
  <pageSetup scale="3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69"/>
  <sheetViews>
    <sheetView topLeftCell="B52" zoomScale="85" zoomScaleNormal="85" workbookViewId="0">
      <selection activeCell="P62" sqref="P62"/>
    </sheetView>
  </sheetViews>
  <sheetFormatPr defaultColWidth="9" defaultRowHeight="24.9" customHeight="1" x14ac:dyDescent="0.3"/>
  <cols>
    <col min="1" max="1" width="9" style="3" hidden="1" customWidth="1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customWidth="1"/>
    <col min="6" max="7" width="13.33203125" style="3" hidden="1" customWidth="1"/>
    <col min="8" max="8" width="19" style="15" hidden="1" customWidth="1"/>
    <col min="9" max="9" width="16" style="15" hidden="1" customWidth="1"/>
    <col min="10" max="10" width="10.6640625" style="3" bestFit="1" customWidth="1"/>
    <col min="11" max="11" width="14.109375" style="3" bestFit="1" customWidth="1"/>
    <col min="12" max="12" width="14.6640625" style="3" customWidth="1"/>
    <col min="13" max="13" width="15" style="3" bestFit="1" customWidth="1"/>
    <col min="14" max="15" width="14.88671875" style="3" customWidth="1"/>
    <col min="16" max="16" width="15.6640625" style="3" bestFit="1" customWidth="1"/>
    <col min="17" max="17" width="10.44140625" style="3" bestFit="1" customWidth="1"/>
    <col min="18" max="18" width="21.6640625" style="3" hidden="1" customWidth="1"/>
    <col min="19" max="19" width="12.6640625" style="3" hidden="1" customWidth="1"/>
    <col min="20" max="20" width="14.5546875" style="3" hidden="1" customWidth="1"/>
    <col min="21" max="21" width="16.5546875" style="3" customWidth="1"/>
    <col min="22" max="22" width="89.44140625" style="3" hidden="1" customWidth="1"/>
    <col min="23" max="23" width="20.44140625" style="3" hidden="1" customWidth="1"/>
    <col min="24" max="16384" width="9" style="3"/>
  </cols>
  <sheetData>
    <row r="1" spans="1:23" ht="24.9" customHeight="1" thickBot="1" x14ac:dyDescent="0.35">
      <c r="B1" s="2" t="s">
        <v>23</v>
      </c>
      <c r="E1" s="4"/>
      <c r="F1" s="4"/>
      <c r="G1" s="4"/>
      <c r="H1" s="5"/>
      <c r="I1" s="5"/>
    </row>
    <row r="2" spans="1:23" ht="24.9" customHeight="1" thickBot="1" x14ac:dyDescent="0.35">
      <c r="B2" s="6" t="s">
        <v>0</v>
      </c>
      <c r="C2" s="7"/>
      <c r="D2" s="7" t="s">
        <v>24</v>
      </c>
      <c r="G2" s="8"/>
      <c r="I2" s="8" t="s">
        <v>17</v>
      </c>
      <c r="J2" s="9"/>
      <c r="K2" s="9"/>
      <c r="L2" s="9"/>
      <c r="M2" s="9"/>
      <c r="N2" s="9"/>
      <c r="O2" s="9"/>
      <c r="P2" s="9"/>
      <c r="Q2" s="31" t="s">
        <v>94</v>
      </c>
      <c r="R2" s="9"/>
      <c r="S2" s="9"/>
      <c r="T2" s="9"/>
    </row>
    <row r="3" spans="1:23" ht="24.9" customHeight="1" thickBot="1" x14ac:dyDescent="0.35">
      <c r="B3" s="10"/>
      <c r="C3" s="10"/>
      <c r="D3" s="10"/>
      <c r="E3" s="10"/>
      <c r="F3" s="9"/>
      <c r="G3" s="9"/>
      <c r="H3" s="11"/>
      <c r="I3" s="11"/>
      <c r="J3" s="9"/>
      <c r="K3" s="9"/>
      <c r="L3" s="9"/>
      <c r="M3" s="9"/>
      <c r="R3" s="9"/>
      <c r="S3" s="12"/>
      <c r="T3" s="12"/>
      <c r="U3" s="12"/>
      <c r="V3" s="12"/>
    </row>
    <row r="4" spans="1:23" ht="24.9" customHeight="1" x14ac:dyDescent="0.3">
      <c r="A4" s="34"/>
      <c r="B4" s="19" t="s">
        <v>1</v>
      </c>
      <c r="C4" s="19" t="s">
        <v>2</v>
      </c>
      <c r="D4" s="19" t="s">
        <v>3</v>
      </c>
      <c r="E4" s="19" t="s">
        <v>4</v>
      </c>
      <c r="F4" s="19" t="s">
        <v>15</v>
      </c>
      <c r="G4" s="19" t="s">
        <v>16</v>
      </c>
      <c r="H4" s="20" t="s">
        <v>5</v>
      </c>
      <c r="I4" s="21" t="s">
        <v>6</v>
      </c>
      <c r="J4" s="22" t="s">
        <v>13</v>
      </c>
      <c r="K4" s="22" t="s">
        <v>12</v>
      </c>
      <c r="L4" s="22" t="s">
        <v>18</v>
      </c>
      <c r="M4" s="22" t="s">
        <v>19</v>
      </c>
      <c r="N4" s="22" t="s">
        <v>7</v>
      </c>
      <c r="O4" s="22" t="s">
        <v>22</v>
      </c>
      <c r="P4" s="22" t="s">
        <v>8</v>
      </c>
      <c r="Q4" s="22"/>
      <c r="R4" s="22" t="s">
        <v>9</v>
      </c>
      <c r="S4" s="22" t="s">
        <v>6</v>
      </c>
      <c r="T4" s="22" t="s">
        <v>14</v>
      </c>
      <c r="U4" s="22" t="s">
        <v>10</v>
      </c>
      <c r="V4" s="22" t="s">
        <v>11</v>
      </c>
      <c r="W4" s="67" t="s">
        <v>88</v>
      </c>
    </row>
    <row r="5" spans="1:23" ht="24.9" customHeight="1" thickBot="1" x14ac:dyDescent="0.35">
      <c r="A5" s="42"/>
      <c r="B5" s="14"/>
      <c r="C5" s="14"/>
      <c r="D5" s="14"/>
      <c r="E5" s="14"/>
      <c r="F5" s="14"/>
      <c r="G5" s="14"/>
      <c r="H5" s="47">
        <v>0.18</v>
      </c>
      <c r="I5" s="14"/>
      <c r="J5" s="47">
        <v>0.01</v>
      </c>
      <c r="K5" s="47">
        <v>0.05</v>
      </c>
      <c r="L5" s="47">
        <v>0.1</v>
      </c>
      <c r="M5" s="47">
        <v>0.1</v>
      </c>
      <c r="N5" s="47">
        <v>0.18</v>
      </c>
      <c r="O5" s="47"/>
      <c r="P5" s="14"/>
      <c r="Q5" s="29"/>
      <c r="R5" s="14"/>
      <c r="S5" s="14"/>
      <c r="T5" s="47">
        <v>0.01</v>
      </c>
      <c r="U5" s="14"/>
      <c r="V5" s="14"/>
      <c r="W5" s="68"/>
    </row>
    <row r="6" spans="1:23" s="16" customFormat="1" ht="24.9" customHeight="1" x14ac:dyDescent="0.3">
      <c r="A6" s="43"/>
      <c r="B6" s="44"/>
      <c r="C6" s="44"/>
      <c r="D6" s="44"/>
      <c r="E6" s="44"/>
      <c r="F6" s="44"/>
      <c r="G6" s="44"/>
      <c r="H6" s="45"/>
      <c r="I6" s="44"/>
      <c r="J6" s="45"/>
      <c r="K6" s="45"/>
      <c r="L6" s="45"/>
      <c r="M6" s="45"/>
      <c r="N6" s="45"/>
      <c r="O6" s="45"/>
      <c r="P6" s="44"/>
      <c r="Q6" s="46">
        <f>A7</f>
        <v>52676</v>
      </c>
      <c r="R6" s="44"/>
      <c r="S6" s="44"/>
      <c r="T6" s="45"/>
      <c r="U6" s="44"/>
      <c r="V6" s="44"/>
      <c r="W6" s="43"/>
    </row>
    <row r="7" spans="1:23" ht="24.9" customHeight="1" x14ac:dyDescent="0.3">
      <c r="A7" s="35">
        <v>52676</v>
      </c>
      <c r="B7" s="24" t="s">
        <v>97</v>
      </c>
      <c r="C7" s="1">
        <v>45483</v>
      </c>
      <c r="D7" s="25" t="s">
        <v>95</v>
      </c>
      <c r="E7" s="13">
        <v>1086117</v>
      </c>
      <c r="F7" s="13">
        <v>0</v>
      </c>
      <c r="G7" s="13">
        <f>E7-F7</f>
        <v>1086117</v>
      </c>
      <c r="H7" s="13">
        <f>ROUND(G7*H5,0)</f>
        <v>195501</v>
      </c>
      <c r="I7" s="13">
        <f>ROUND(G7+H7,)</f>
        <v>1281618</v>
      </c>
      <c r="J7" s="13">
        <f>G7*$J$5</f>
        <v>10861.17</v>
      </c>
      <c r="K7" s="13">
        <f>G7*$K$5</f>
        <v>54305.850000000006</v>
      </c>
      <c r="L7" s="13">
        <f>G7*$L$5</f>
        <v>108611.70000000001</v>
      </c>
      <c r="M7" s="13">
        <f>G7*$M$5</f>
        <v>108611.70000000001</v>
      </c>
      <c r="N7" s="52">
        <f>H7</f>
        <v>195501</v>
      </c>
      <c r="O7" s="13">
        <v>0</v>
      </c>
      <c r="P7" s="13">
        <f>ROUND(I7-SUM(J7:O7),0)</f>
        <v>803727</v>
      </c>
      <c r="Q7" s="23"/>
      <c r="R7" s="13" t="s">
        <v>26</v>
      </c>
      <c r="S7" s="13">
        <v>1000000</v>
      </c>
      <c r="T7" s="13">
        <f t="shared" ref="T7:T34" si="0">S7*$T$5</f>
        <v>10000</v>
      </c>
      <c r="U7" s="13">
        <f>S7-T7</f>
        <v>990000</v>
      </c>
      <c r="V7" s="37" t="s">
        <v>25</v>
      </c>
      <c r="W7" s="35"/>
    </row>
    <row r="8" spans="1:23" ht="24.9" customHeight="1" x14ac:dyDescent="0.3">
      <c r="A8" s="35"/>
      <c r="B8" s="24" t="s">
        <v>97</v>
      </c>
      <c r="C8" s="1">
        <v>45505</v>
      </c>
      <c r="D8" s="25" t="s">
        <v>98</v>
      </c>
      <c r="E8" s="13">
        <v>266948</v>
      </c>
      <c r="F8" s="13"/>
      <c r="G8" s="13">
        <f>E8-F8</f>
        <v>266948</v>
      </c>
      <c r="H8" s="13">
        <f>ROUND(G8*H5,0)</f>
        <v>48051</v>
      </c>
      <c r="I8" s="13">
        <f>ROUND(G8+H8,)</f>
        <v>314999</v>
      </c>
      <c r="J8" s="13">
        <f>G8*$J$5</f>
        <v>2669.48</v>
      </c>
      <c r="K8" s="13">
        <f>G8*$K$5</f>
        <v>13347.400000000001</v>
      </c>
      <c r="L8" s="13">
        <f>G8*$L$5</f>
        <v>26694.800000000003</v>
      </c>
      <c r="M8" s="13">
        <f>G8*$M$5</f>
        <v>26694.800000000003</v>
      </c>
      <c r="N8" s="52">
        <f>H8</f>
        <v>48051</v>
      </c>
      <c r="O8" s="13"/>
      <c r="P8" s="13">
        <f>ROUND(I8-SUM(J8:O8),0)</f>
        <v>197542</v>
      </c>
      <c r="Q8" s="53" t="s">
        <v>99</v>
      </c>
      <c r="R8" s="13"/>
      <c r="S8" s="13"/>
      <c r="T8" s="13"/>
      <c r="U8" s="13"/>
      <c r="V8" s="37"/>
      <c r="W8" s="35"/>
    </row>
    <row r="9" spans="1:23" ht="24.9" customHeight="1" x14ac:dyDescent="0.3">
      <c r="A9" s="35"/>
      <c r="B9" s="24"/>
      <c r="C9" s="1"/>
      <c r="D9" s="25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3"/>
      <c r="R9" s="13"/>
      <c r="S9" s="13"/>
      <c r="T9" s="13"/>
      <c r="U9" s="13"/>
      <c r="V9" s="37"/>
      <c r="W9" s="35"/>
    </row>
    <row r="10" spans="1:23" s="16" customFormat="1" ht="24.9" customHeight="1" x14ac:dyDescent="0.3">
      <c r="A10" s="36"/>
      <c r="B10" s="26"/>
      <c r="C10" s="18"/>
      <c r="D10" s="2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30">
        <f>A11</f>
        <v>52677</v>
      </c>
      <c r="R10" s="17"/>
      <c r="S10" s="17"/>
      <c r="T10" s="17"/>
      <c r="U10" s="17"/>
      <c r="V10" s="36"/>
      <c r="W10" s="38">
        <f>SUM(P7:P9)-SUM(U7:U9)</f>
        <v>11269</v>
      </c>
    </row>
    <row r="11" spans="1:23" ht="24.9" customHeight="1" x14ac:dyDescent="0.3">
      <c r="A11" s="35">
        <v>52677</v>
      </c>
      <c r="B11" s="24" t="s">
        <v>27</v>
      </c>
      <c r="C11" s="1">
        <v>45014</v>
      </c>
      <c r="D11" s="25" t="s">
        <v>28</v>
      </c>
      <c r="E11" s="13">
        <v>1367366</v>
      </c>
      <c r="F11" s="13">
        <v>0</v>
      </c>
      <c r="G11" s="13">
        <f>E11-F11</f>
        <v>1367366</v>
      </c>
      <c r="H11" s="13">
        <f>ROUND(G11*H5,0)</f>
        <v>246126</v>
      </c>
      <c r="I11" s="13">
        <f>ROUND(G11+H11,)</f>
        <v>1613492</v>
      </c>
      <c r="J11" s="13">
        <f>G11*$J$5</f>
        <v>13673.66</v>
      </c>
      <c r="K11" s="13">
        <f>G11*$K$5</f>
        <v>68368.3</v>
      </c>
      <c r="L11" s="13">
        <f>G11*$L$5</f>
        <v>136736.6</v>
      </c>
      <c r="M11" s="13">
        <f>G11*$M$5</f>
        <v>136736.6</v>
      </c>
      <c r="N11" s="52">
        <f>H11</f>
        <v>246126</v>
      </c>
      <c r="O11" s="13">
        <v>0</v>
      </c>
      <c r="P11" s="13">
        <f>ROUND(I11-SUM(J11:O11),0)</f>
        <v>1011851</v>
      </c>
      <c r="Q11" s="23"/>
      <c r="R11" s="13" t="s">
        <v>29</v>
      </c>
      <c r="S11" s="13">
        <v>1000000</v>
      </c>
      <c r="T11" s="13">
        <f t="shared" si="0"/>
        <v>10000</v>
      </c>
      <c r="U11" s="13">
        <f>S11-T11</f>
        <v>990000</v>
      </c>
      <c r="V11" s="35" t="s">
        <v>30</v>
      </c>
      <c r="W11" s="35"/>
    </row>
    <row r="12" spans="1:23" ht="24.9" customHeight="1" x14ac:dyDescent="0.3">
      <c r="A12" s="35"/>
      <c r="B12" s="24" t="s">
        <v>80</v>
      </c>
      <c r="C12" s="1"/>
      <c r="D12" s="25" t="s">
        <v>28</v>
      </c>
      <c r="E12" s="13">
        <f>N11</f>
        <v>246126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52">
        <f>E12</f>
        <v>246126</v>
      </c>
      <c r="Q12" s="23"/>
      <c r="R12" s="13"/>
      <c r="S12" s="13">
        <v>200000</v>
      </c>
      <c r="T12" s="13">
        <f t="shared" ref="T12:T18" si="1">S12*$T$5</f>
        <v>2000</v>
      </c>
      <c r="U12" s="13">
        <f>S12-T12</f>
        <v>198000</v>
      </c>
      <c r="V12" s="35" t="s">
        <v>31</v>
      </c>
      <c r="W12" s="35"/>
    </row>
    <row r="13" spans="1:23" ht="24.9" customHeight="1" x14ac:dyDescent="0.3">
      <c r="A13" s="35"/>
      <c r="B13" s="24" t="s">
        <v>27</v>
      </c>
      <c r="C13" s="1">
        <v>45321</v>
      </c>
      <c r="D13" s="25">
        <v>12</v>
      </c>
      <c r="E13" s="13">
        <v>636393</v>
      </c>
      <c r="F13" s="13">
        <v>1801</v>
      </c>
      <c r="G13" s="13">
        <f>E13-F13</f>
        <v>634592</v>
      </c>
      <c r="H13" s="13">
        <f>ROUND(G13*H5,0)</f>
        <v>114227</v>
      </c>
      <c r="I13" s="13">
        <f>ROUND(G13+H13,)</f>
        <v>748819</v>
      </c>
      <c r="J13" s="13">
        <f>G13*$J$5</f>
        <v>6345.92</v>
      </c>
      <c r="K13" s="13">
        <f>G13*$K$5</f>
        <v>31729.600000000002</v>
      </c>
      <c r="L13" s="13">
        <f>G13*$L$5</f>
        <v>63459.200000000004</v>
      </c>
      <c r="M13" s="13">
        <f>G13*$M$5</f>
        <v>63459.200000000004</v>
      </c>
      <c r="N13" s="52">
        <f>H13</f>
        <v>114227</v>
      </c>
      <c r="O13" s="13">
        <v>387156</v>
      </c>
      <c r="P13" s="13">
        <f>ROUND(I13-SUM(J13:O13),0)</f>
        <v>82442</v>
      </c>
      <c r="Q13" s="23"/>
      <c r="R13" s="13"/>
      <c r="S13" s="13">
        <v>200000</v>
      </c>
      <c r="T13" s="13">
        <v>2000</v>
      </c>
      <c r="U13" s="13">
        <v>198000</v>
      </c>
      <c r="V13" s="35" t="s">
        <v>91</v>
      </c>
      <c r="W13" s="35"/>
    </row>
    <row r="14" spans="1:23" ht="24.9" customHeight="1" x14ac:dyDescent="0.3">
      <c r="A14" s="35"/>
      <c r="B14" s="24"/>
      <c r="C14" s="1"/>
      <c r="D14" s="25">
        <v>12</v>
      </c>
      <c r="E14" s="13">
        <f>N13</f>
        <v>114227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52">
        <f>E14</f>
        <v>114227</v>
      </c>
      <c r="Q14" s="23"/>
      <c r="R14" s="13"/>
      <c r="S14" s="13"/>
      <c r="T14" s="13"/>
      <c r="U14" s="13"/>
      <c r="V14" s="35"/>
      <c r="W14" s="35"/>
    </row>
    <row r="15" spans="1:23" ht="24.9" customHeight="1" x14ac:dyDescent="0.3">
      <c r="A15" s="35"/>
      <c r="B15" s="24"/>
      <c r="C15" s="1"/>
      <c r="D15" s="25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3"/>
      <c r="R15" s="13"/>
      <c r="S15" s="13"/>
      <c r="T15" s="13"/>
      <c r="U15" s="13"/>
      <c r="V15" s="35"/>
      <c r="W15" s="35"/>
    </row>
    <row r="16" spans="1:23" s="16" customFormat="1" ht="24.9" customHeight="1" x14ac:dyDescent="0.3">
      <c r="A16" s="36"/>
      <c r="B16" s="26"/>
      <c r="C16" s="18"/>
      <c r="D16" s="2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30">
        <f>A17</f>
        <v>52921</v>
      </c>
      <c r="R16" s="17"/>
      <c r="S16" s="17"/>
      <c r="T16" s="17"/>
      <c r="U16" s="17"/>
      <c r="V16" s="36"/>
      <c r="W16" s="38">
        <f>SUM(P11:P15)-SUM(U11:U15)</f>
        <v>68646</v>
      </c>
    </row>
    <row r="17" spans="1:23" ht="24.9" customHeight="1" x14ac:dyDescent="0.3">
      <c r="A17" s="35">
        <v>52921</v>
      </c>
      <c r="B17" s="24" t="s">
        <v>32</v>
      </c>
      <c r="C17" s="1">
        <v>45031</v>
      </c>
      <c r="D17" s="25" t="s">
        <v>33</v>
      </c>
      <c r="E17" s="13">
        <v>520898</v>
      </c>
      <c r="F17" s="13">
        <v>0</v>
      </c>
      <c r="G17" s="13">
        <f>E17-F17</f>
        <v>520898</v>
      </c>
      <c r="H17" s="13">
        <f>ROUND(G17*H5,0)</f>
        <v>93762</v>
      </c>
      <c r="I17" s="13">
        <f>ROUND(G17+H17,)</f>
        <v>614660</v>
      </c>
      <c r="J17" s="13">
        <f>G17*$J$5</f>
        <v>5208.9800000000005</v>
      </c>
      <c r="K17" s="13">
        <f>G17*$K$5</f>
        <v>26044.9</v>
      </c>
      <c r="L17" s="13">
        <f>G17*$L$5</f>
        <v>52089.8</v>
      </c>
      <c r="M17" s="13">
        <f>G17*$M$5</f>
        <v>52089.8</v>
      </c>
      <c r="N17" s="52">
        <f>H17</f>
        <v>93762</v>
      </c>
      <c r="O17" s="13">
        <v>0</v>
      </c>
      <c r="P17" s="13">
        <f>ROUND(I17-SUM(J17:O17),0)</f>
        <v>385465</v>
      </c>
      <c r="Q17" s="23"/>
      <c r="R17" s="13" t="s">
        <v>34</v>
      </c>
      <c r="S17" s="13">
        <v>500000</v>
      </c>
      <c r="T17" s="13">
        <f t="shared" si="1"/>
        <v>5000</v>
      </c>
      <c r="U17" s="13">
        <f>S17-T17</f>
        <v>495000</v>
      </c>
      <c r="V17" s="35" t="s">
        <v>35</v>
      </c>
      <c r="W17" s="35"/>
    </row>
    <row r="18" spans="1:23" ht="24.9" customHeight="1" x14ac:dyDescent="0.3">
      <c r="A18" s="35"/>
      <c r="B18" s="24" t="s">
        <v>80</v>
      </c>
      <c r="C18" s="1"/>
      <c r="D18" s="25" t="s">
        <v>33</v>
      </c>
      <c r="E18" s="13">
        <f>N17</f>
        <v>93762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52">
        <f>E18</f>
        <v>93762</v>
      </c>
      <c r="Q18" s="23"/>
      <c r="R18" s="13" t="s">
        <v>36</v>
      </c>
      <c r="S18" s="13">
        <v>500000</v>
      </c>
      <c r="T18" s="13">
        <f t="shared" si="1"/>
        <v>5000</v>
      </c>
      <c r="U18" s="13">
        <f t="shared" ref="U18:U19" si="2">S18-T18</f>
        <v>495000</v>
      </c>
      <c r="V18" s="35" t="s">
        <v>37</v>
      </c>
      <c r="W18" s="35"/>
    </row>
    <row r="19" spans="1:23" ht="24.9" customHeight="1" x14ac:dyDescent="0.3">
      <c r="A19" s="35"/>
      <c r="B19" s="24"/>
      <c r="C19" s="1"/>
      <c r="D19" s="25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3"/>
      <c r="R19" s="13" t="s">
        <v>84</v>
      </c>
      <c r="S19" s="13">
        <v>300000</v>
      </c>
      <c r="T19" s="13">
        <f t="shared" ref="T19" si="3">S19*$T$5</f>
        <v>3000</v>
      </c>
      <c r="U19" s="13">
        <f t="shared" si="2"/>
        <v>297000</v>
      </c>
      <c r="V19" s="35" t="s">
        <v>72</v>
      </c>
      <c r="W19" s="35"/>
    </row>
    <row r="20" spans="1:23" s="16" customFormat="1" ht="24.9" customHeight="1" x14ac:dyDescent="0.3">
      <c r="A20" s="36"/>
      <c r="B20" s="26"/>
      <c r="C20" s="18"/>
      <c r="D20" s="2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30">
        <f>A21</f>
        <v>52922</v>
      </c>
      <c r="R20" s="17"/>
      <c r="S20" s="17"/>
      <c r="T20" s="17"/>
      <c r="U20" s="17"/>
      <c r="V20" s="36"/>
      <c r="W20" s="38">
        <f>SUM(P17:P19)-SUM(U17:U19)</f>
        <v>-807773</v>
      </c>
    </row>
    <row r="21" spans="1:23" ht="24.9" customHeight="1" x14ac:dyDescent="0.3">
      <c r="A21" s="35">
        <v>52922</v>
      </c>
      <c r="B21" s="24" t="s">
        <v>38</v>
      </c>
      <c r="C21" s="1">
        <v>45015</v>
      </c>
      <c r="D21" s="25" t="s">
        <v>39</v>
      </c>
      <c r="E21" s="13">
        <v>1172872</v>
      </c>
      <c r="F21" s="13">
        <v>0</v>
      </c>
      <c r="G21" s="13">
        <f>E21-F21</f>
        <v>1172872</v>
      </c>
      <c r="H21" s="13">
        <f>ROUND(G21*H5,0)</f>
        <v>211117</v>
      </c>
      <c r="I21" s="13">
        <f>ROUND(G21+H21,)</f>
        <v>1383989</v>
      </c>
      <c r="J21" s="13">
        <f>G21*$J$5</f>
        <v>11728.72</v>
      </c>
      <c r="K21" s="13">
        <f>G21*$K$5</f>
        <v>58643.600000000006</v>
      </c>
      <c r="L21" s="13">
        <f>G21*$L$5</f>
        <v>117287.20000000001</v>
      </c>
      <c r="M21" s="13">
        <f>G21*$M$5</f>
        <v>117287.20000000001</v>
      </c>
      <c r="N21" s="52">
        <f>H21</f>
        <v>211117</v>
      </c>
      <c r="O21" s="13">
        <v>0</v>
      </c>
      <c r="P21" s="13">
        <f>ROUND(I21-SUM(J21:O21),0)</f>
        <v>867925</v>
      </c>
      <c r="Q21" s="23"/>
      <c r="R21" s="13" t="s">
        <v>40</v>
      </c>
      <c r="S21" s="13">
        <v>700000</v>
      </c>
      <c r="T21" s="13">
        <f t="shared" si="0"/>
        <v>7000</v>
      </c>
      <c r="U21" s="13">
        <f>S21-T21</f>
        <v>693000</v>
      </c>
      <c r="V21" s="35" t="s">
        <v>41</v>
      </c>
      <c r="W21" s="35"/>
    </row>
    <row r="22" spans="1:23" ht="24.9" customHeight="1" x14ac:dyDescent="0.3">
      <c r="A22" s="35"/>
      <c r="B22" s="24" t="s">
        <v>80</v>
      </c>
      <c r="C22" s="1"/>
      <c r="D22" s="25" t="s">
        <v>39</v>
      </c>
      <c r="E22" s="13">
        <f>N21</f>
        <v>211117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52">
        <f>E22</f>
        <v>211117</v>
      </c>
      <c r="Q22" s="23"/>
      <c r="R22" s="13" t="s">
        <v>42</v>
      </c>
      <c r="S22" s="13">
        <v>200000</v>
      </c>
      <c r="T22" s="13">
        <f t="shared" si="0"/>
        <v>2000</v>
      </c>
      <c r="U22" s="13">
        <f t="shared" ref="U22:U23" si="4">S22-T22</f>
        <v>198000</v>
      </c>
      <c r="V22" s="35" t="s">
        <v>43</v>
      </c>
      <c r="W22" s="35"/>
    </row>
    <row r="23" spans="1:23" ht="24.9" customHeight="1" x14ac:dyDescent="0.3">
      <c r="A23" s="35"/>
      <c r="B23" s="24" t="s">
        <v>38</v>
      </c>
      <c r="C23" s="1">
        <v>45261</v>
      </c>
      <c r="D23" s="25">
        <v>9</v>
      </c>
      <c r="E23" s="13">
        <v>975436</v>
      </c>
      <c r="F23" s="13">
        <v>0</v>
      </c>
      <c r="G23" s="13">
        <f>E23-F23</f>
        <v>975436</v>
      </c>
      <c r="H23" s="13">
        <f>ROUND(G23*H5,0)</f>
        <v>175578</v>
      </c>
      <c r="I23" s="13">
        <f>ROUND(G23+H23,)</f>
        <v>1151014</v>
      </c>
      <c r="J23" s="13">
        <f>G23*$J$5</f>
        <v>9754.36</v>
      </c>
      <c r="K23" s="13">
        <f>G23*$K$5</f>
        <v>48771.8</v>
      </c>
      <c r="L23" s="13">
        <f>G23*$L$5</f>
        <v>97543.6</v>
      </c>
      <c r="M23" s="13">
        <f>G23*$M$5</f>
        <v>97543.6</v>
      </c>
      <c r="N23" s="52">
        <f>H23</f>
        <v>175578</v>
      </c>
      <c r="O23" s="13">
        <f>67618+57970</f>
        <v>125588</v>
      </c>
      <c r="P23" s="13">
        <f>ROUND(I23-SUM(J23:O23),0)</f>
        <v>596235</v>
      </c>
      <c r="Q23" s="23"/>
      <c r="R23" s="13"/>
      <c r="S23" s="13">
        <v>200000</v>
      </c>
      <c r="T23" s="13">
        <f t="shared" si="0"/>
        <v>2000</v>
      </c>
      <c r="U23" s="13">
        <f t="shared" si="4"/>
        <v>198000</v>
      </c>
      <c r="V23" s="35" t="s">
        <v>44</v>
      </c>
      <c r="W23" s="35"/>
    </row>
    <row r="24" spans="1:23" ht="24.9" customHeight="1" x14ac:dyDescent="0.3">
      <c r="A24" s="35"/>
      <c r="B24" s="24"/>
      <c r="C24" s="1"/>
      <c r="D24" s="25">
        <v>9</v>
      </c>
      <c r="E24" s="13">
        <f>N23</f>
        <v>175578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52">
        <f>E24</f>
        <v>175578</v>
      </c>
      <c r="Q24" s="23"/>
      <c r="R24" s="13"/>
      <c r="S24" s="13">
        <v>600000</v>
      </c>
      <c r="T24" s="13">
        <f t="shared" si="0"/>
        <v>6000</v>
      </c>
      <c r="U24" s="13">
        <v>594000</v>
      </c>
      <c r="V24" s="35" t="s">
        <v>92</v>
      </c>
      <c r="W24" s="35"/>
    </row>
    <row r="25" spans="1:23" ht="24.9" customHeight="1" x14ac:dyDescent="0.3">
      <c r="A25" s="35"/>
      <c r="B25" s="24"/>
      <c r="C25" s="1"/>
      <c r="D25" s="25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23"/>
      <c r="R25" s="13"/>
      <c r="S25" s="13"/>
      <c r="T25" s="13"/>
      <c r="U25" s="13"/>
      <c r="V25" s="35"/>
      <c r="W25" s="35"/>
    </row>
    <row r="26" spans="1:23" s="16" customFormat="1" ht="24.9" customHeight="1" x14ac:dyDescent="0.3">
      <c r="A26" s="3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30">
        <f>A27</f>
        <v>53645</v>
      </c>
      <c r="R26" s="17"/>
      <c r="S26" s="17"/>
      <c r="T26" s="17"/>
      <c r="U26" s="17"/>
      <c r="V26" s="36"/>
      <c r="W26" s="38">
        <f>SUM(P21:P25)-SUM(U21:U25)</f>
        <v>167855</v>
      </c>
    </row>
    <row r="27" spans="1:23" ht="24.9" customHeight="1" x14ac:dyDescent="0.3">
      <c r="A27" s="35">
        <v>53645</v>
      </c>
      <c r="B27" s="24" t="s">
        <v>45</v>
      </c>
      <c r="C27" s="1">
        <v>45015</v>
      </c>
      <c r="D27" s="25" t="s">
        <v>46</v>
      </c>
      <c r="E27" s="13">
        <v>780845</v>
      </c>
      <c r="F27" s="13">
        <v>0</v>
      </c>
      <c r="G27" s="13">
        <f>E27-F27</f>
        <v>780845</v>
      </c>
      <c r="H27" s="13">
        <f>ROUND(G27*H5,0)</f>
        <v>140552</v>
      </c>
      <c r="I27" s="13">
        <f>ROUND(G27+H27,)</f>
        <v>921397</v>
      </c>
      <c r="J27" s="13">
        <f>G27*$J$5</f>
        <v>7808.45</v>
      </c>
      <c r="K27" s="13">
        <f>G27*$K$5</f>
        <v>39042.25</v>
      </c>
      <c r="L27" s="13">
        <f>G27*$L$5</f>
        <v>78084.5</v>
      </c>
      <c r="M27" s="13">
        <f>G27*$M$5</f>
        <v>78084.5</v>
      </c>
      <c r="N27" s="52">
        <f>H27</f>
        <v>140552</v>
      </c>
      <c r="O27" s="13">
        <v>0</v>
      </c>
      <c r="P27" s="13">
        <f>ROUND(I27-SUM(J27:O27),0)</f>
        <v>577825</v>
      </c>
      <c r="Q27" s="23"/>
      <c r="R27" s="13" t="s">
        <v>47</v>
      </c>
      <c r="S27" s="13">
        <v>700000</v>
      </c>
      <c r="T27" s="13">
        <f t="shared" si="0"/>
        <v>7000</v>
      </c>
      <c r="U27" s="13">
        <f>S27-T27</f>
        <v>693000</v>
      </c>
      <c r="V27" s="35" t="s">
        <v>48</v>
      </c>
      <c r="W27" s="35"/>
    </row>
    <row r="28" spans="1:23" ht="24.9" customHeight="1" x14ac:dyDescent="0.3">
      <c r="A28" s="35"/>
      <c r="B28" s="13" t="s">
        <v>80</v>
      </c>
      <c r="C28" s="13"/>
      <c r="D28" s="25" t="s">
        <v>46</v>
      </c>
      <c r="E28" s="13">
        <f>N27</f>
        <v>140552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52">
        <f>E28</f>
        <v>140552</v>
      </c>
      <c r="Q28" s="23"/>
      <c r="R28" s="13" t="s">
        <v>49</v>
      </c>
      <c r="S28" s="13">
        <v>200000</v>
      </c>
      <c r="T28" s="13">
        <f t="shared" si="0"/>
        <v>2000</v>
      </c>
      <c r="U28" s="13">
        <f t="shared" ref="U28:U29" si="5">S28-T28</f>
        <v>198000</v>
      </c>
      <c r="V28" s="35" t="s">
        <v>50</v>
      </c>
      <c r="W28" s="35"/>
    </row>
    <row r="29" spans="1:23" ht="24.9" customHeight="1" x14ac:dyDescent="0.3">
      <c r="A29" s="35"/>
      <c r="B29" s="24" t="s">
        <v>45</v>
      </c>
      <c r="C29" s="1">
        <v>45299</v>
      </c>
      <c r="D29" s="25">
        <v>11</v>
      </c>
      <c r="E29" s="13">
        <v>202754</v>
      </c>
      <c r="F29" s="13">
        <v>0</v>
      </c>
      <c r="G29" s="13">
        <f>E29-F29</f>
        <v>202754</v>
      </c>
      <c r="H29" s="13">
        <f>ROUND(G29*H5,0)</f>
        <v>36496</v>
      </c>
      <c r="I29" s="13">
        <f>ROUND(G29+H29,)</f>
        <v>239250</v>
      </c>
      <c r="J29" s="13">
        <f>G29*$J$5</f>
        <v>2027.54</v>
      </c>
      <c r="K29" s="13">
        <f>G29*$K$5</f>
        <v>10137.700000000001</v>
      </c>
      <c r="L29" s="13">
        <f>G29*$L$5</f>
        <v>20275.400000000001</v>
      </c>
      <c r="M29" s="13">
        <f>G29*$M$5</f>
        <v>20275.400000000001</v>
      </c>
      <c r="N29" s="52">
        <f>H29</f>
        <v>36496</v>
      </c>
      <c r="O29" s="13">
        <v>13900</v>
      </c>
      <c r="P29" s="13">
        <f>ROUND(I29-SUM(J29:O29),0)</f>
        <v>136138</v>
      </c>
      <c r="Q29" s="23"/>
      <c r="R29" s="13" t="s">
        <v>85</v>
      </c>
      <c r="S29" s="13">
        <v>200000</v>
      </c>
      <c r="T29" s="13">
        <f t="shared" si="0"/>
        <v>2000</v>
      </c>
      <c r="U29" s="13">
        <f t="shared" si="5"/>
        <v>198000</v>
      </c>
      <c r="V29" s="35" t="s">
        <v>51</v>
      </c>
      <c r="W29" s="35"/>
    </row>
    <row r="30" spans="1:23" ht="24.9" customHeight="1" x14ac:dyDescent="0.3">
      <c r="A30" s="35"/>
      <c r="B30" s="24" t="s">
        <v>80</v>
      </c>
      <c r="C30" s="1"/>
      <c r="D30" s="25">
        <v>11</v>
      </c>
      <c r="E30" s="13">
        <f>N29</f>
        <v>36496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52">
        <f>E30</f>
        <v>36496</v>
      </c>
      <c r="Q30" s="23"/>
      <c r="R30" s="13"/>
      <c r="S30" s="13"/>
      <c r="T30" s="13"/>
      <c r="U30" s="13"/>
      <c r="V30" s="35"/>
      <c r="W30" s="35"/>
    </row>
    <row r="31" spans="1:23" ht="24.9" customHeight="1" x14ac:dyDescent="0.3">
      <c r="A31" s="35"/>
      <c r="B31" s="24" t="s">
        <v>45</v>
      </c>
      <c r="C31" s="1">
        <v>45505</v>
      </c>
      <c r="D31" s="25" t="s">
        <v>103</v>
      </c>
      <c r="E31" s="13">
        <v>82567</v>
      </c>
      <c r="F31" s="13"/>
      <c r="G31" s="13">
        <f>E31-F31</f>
        <v>82567</v>
      </c>
      <c r="H31" s="13">
        <f>ROUND(G31*H5,0)</f>
        <v>14862</v>
      </c>
      <c r="I31" s="13">
        <f>ROUND(G31+H31,)</f>
        <v>97429</v>
      </c>
      <c r="J31" s="13">
        <f>G31*$J$5</f>
        <v>825.67000000000007</v>
      </c>
      <c r="K31" s="13">
        <f>G31*$K$5</f>
        <v>4128.3500000000004</v>
      </c>
      <c r="L31" s="13">
        <f>G31*$L$5</f>
        <v>8256.7000000000007</v>
      </c>
      <c r="M31" s="13">
        <f>G31*$M$5</f>
        <v>8256.7000000000007</v>
      </c>
      <c r="N31" s="52">
        <f>H31</f>
        <v>14862</v>
      </c>
      <c r="O31" s="13">
        <v>0</v>
      </c>
      <c r="P31" s="13">
        <f>ROUND(I31-SUM(J31:O31),0)</f>
        <v>61100</v>
      </c>
      <c r="Q31" s="53" t="s">
        <v>99</v>
      </c>
      <c r="R31" s="13"/>
      <c r="S31" s="13"/>
      <c r="T31" s="13"/>
      <c r="U31" s="13"/>
      <c r="V31" s="35"/>
      <c r="W31" s="35"/>
    </row>
    <row r="32" spans="1:23" s="16" customFormat="1" ht="24.9" customHeight="1" x14ac:dyDescent="0.3">
      <c r="A32" s="3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30">
        <f>A33</f>
        <v>53646</v>
      </c>
      <c r="R32" s="17"/>
      <c r="S32" s="17"/>
      <c r="T32" s="17"/>
      <c r="U32" s="17"/>
      <c r="V32" s="36"/>
      <c r="W32" s="38">
        <f>SUM(P27:P31)-SUM(U27:U31)</f>
        <v>-136889</v>
      </c>
    </row>
    <row r="33" spans="1:23" ht="24.9" customHeight="1" x14ac:dyDescent="0.3">
      <c r="A33" s="35">
        <v>53646</v>
      </c>
      <c r="B33" s="13" t="s">
        <v>100</v>
      </c>
      <c r="C33" s="28">
        <v>45505</v>
      </c>
      <c r="D33" s="13" t="s">
        <v>101</v>
      </c>
      <c r="E33" s="13">
        <v>1120527</v>
      </c>
      <c r="F33" s="13"/>
      <c r="G33" s="13">
        <f>E33-F33</f>
        <v>1120527</v>
      </c>
      <c r="H33" s="13">
        <f>ROUND(G33*H5,0)</f>
        <v>201695</v>
      </c>
      <c r="I33" s="13">
        <f>ROUND(G33+H33,)</f>
        <v>1322222</v>
      </c>
      <c r="J33" s="13">
        <f>G33*$J$5</f>
        <v>11205.27</v>
      </c>
      <c r="K33" s="13">
        <f>G33*$K$5</f>
        <v>56026.350000000006</v>
      </c>
      <c r="L33" s="13">
        <f>G33*$L$5</f>
        <v>112052.70000000001</v>
      </c>
      <c r="M33" s="13">
        <f>G33*$M$5</f>
        <v>112052.70000000001</v>
      </c>
      <c r="N33" s="52">
        <f>H33</f>
        <v>201695</v>
      </c>
      <c r="O33" s="13">
        <v>0</v>
      </c>
      <c r="P33" s="13">
        <f>ROUND(I33-SUM(J33:O33),0)</f>
        <v>829190</v>
      </c>
      <c r="Q33" s="53" t="s">
        <v>99</v>
      </c>
      <c r="R33" s="13" t="s">
        <v>52</v>
      </c>
      <c r="S33" s="13">
        <v>700000</v>
      </c>
      <c r="T33" s="13">
        <f t="shared" si="0"/>
        <v>7000</v>
      </c>
      <c r="U33" s="13">
        <f t="shared" ref="U33:U34" si="6">S33-T33</f>
        <v>693000</v>
      </c>
      <c r="V33" s="39" t="s">
        <v>53</v>
      </c>
      <c r="W33" s="35"/>
    </row>
    <row r="34" spans="1:23" ht="24.9" customHeight="1" x14ac:dyDescent="0.3">
      <c r="A34" s="35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23"/>
      <c r="R34" s="13" t="s">
        <v>54</v>
      </c>
      <c r="S34" s="13">
        <v>100000</v>
      </c>
      <c r="T34" s="13">
        <f t="shared" si="0"/>
        <v>1000</v>
      </c>
      <c r="U34" s="13">
        <f t="shared" si="6"/>
        <v>99000</v>
      </c>
      <c r="V34" s="39" t="s">
        <v>55</v>
      </c>
      <c r="W34" s="35"/>
    </row>
    <row r="35" spans="1:23" ht="24.9" customHeight="1" x14ac:dyDescent="0.3">
      <c r="A35" s="3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23"/>
      <c r="R35" s="13" t="s">
        <v>47</v>
      </c>
      <c r="S35" s="13">
        <v>200000</v>
      </c>
      <c r="T35" s="13">
        <f t="shared" ref="T35" si="7">S35*$T$5</f>
        <v>2000</v>
      </c>
      <c r="U35" s="13">
        <f>S35-T35</f>
        <v>198000</v>
      </c>
      <c r="V35" s="39" t="s">
        <v>73</v>
      </c>
      <c r="W35" s="35"/>
    </row>
    <row r="36" spans="1:23" s="16" customFormat="1" ht="24.9" customHeight="1" x14ac:dyDescent="0.3">
      <c r="A36" s="3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30">
        <f>A37</f>
        <v>53647</v>
      </c>
      <c r="R36" s="17"/>
      <c r="S36" s="17"/>
      <c r="T36" s="17"/>
      <c r="U36" s="17"/>
      <c r="V36" s="36"/>
      <c r="W36" s="38">
        <f>SUM(P33:P35)-SUM(U33:U35)</f>
        <v>-160810</v>
      </c>
    </row>
    <row r="37" spans="1:23" ht="24.9" customHeight="1" x14ac:dyDescent="0.3">
      <c r="A37" s="35">
        <v>53647</v>
      </c>
      <c r="B37" s="13" t="s">
        <v>56</v>
      </c>
      <c r="C37" s="1">
        <v>45014</v>
      </c>
      <c r="D37" s="13" t="s">
        <v>57</v>
      </c>
      <c r="E37" s="13">
        <v>1145833.5</v>
      </c>
      <c r="F37" s="13">
        <v>0</v>
      </c>
      <c r="G37" s="13">
        <f>E37-F37</f>
        <v>1145833.5</v>
      </c>
      <c r="H37" s="13">
        <f>ROUND(G37*H5,0)</f>
        <v>206250</v>
      </c>
      <c r="I37" s="13">
        <f>ROUND(G37+H37,)</f>
        <v>1352084</v>
      </c>
      <c r="J37" s="13">
        <f>G37*$J$5</f>
        <v>11458.335000000001</v>
      </c>
      <c r="K37" s="13">
        <f>G37*$K$5</f>
        <v>57291.675000000003</v>
      </c>
      <c r="L37" s="13">
        <f>G37*$L$5</f>
        <v>114583.35</v>
      </c>
      <c r="M37" s="13">
        <f>G37*$M$5</f>
        <v>114583.35</v>
      </c>
      <c r="N37" s="52">
        <f>H37</f>
        <v>206250</v>
      </c>
      <c r="O37" s="13">
        <v>0</v>
      </c>
      <c r="P37" s="13">
        <f>ROUND(I37-SUM(J37:O37),0)</f>
        <v>847917</v>
      </c>
      <c r="Q37" s="23"/>
      <c r="R37" s="13" t="s">
        <v>58</v>
      </c>
      <c r="S37" s="13">
        <v>700000</v>
      </c>
      <c r="T37" s="13">
        <f>S37*$T$5</f>
        <v>7000</v>
      </c>
      <c r="U37" s="13">
        <f>S37-T37</f>
        <v>693000</v>
      </c>
      <c r="V37" s="35" t="s">
        <v>59</v>
      </c>
      <c r="W37" s="35"/>
    </row>
    <row r="38" spans="1:23" ht="24.9" customHeight="1" x14ac:dyDescent="0.3">
      <c r="A38" s="35"/>
      <c r="B38" s="13" t="s">
        <v>80</v>
      </c>
      <c r="C38" s="13"/>
      <c r="D38" s="13" t="s">
        <v>57</v>
      </c>
      <c r="E38" s="13">
        <f>N37</f>
        <v>206250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52">
        <f>E38</f>
        <v>206250</v>
      </c>
      <c r="Q38" s="23"/>
      <c r="R38" s="13" t="s">
        <v>60</v>
      </c>
      <c r="S38" s="13">
        <v>200000</v>
      </c>
      <c r="T38" s="13">
        <f>S38*$T$5</f>
        <v>2000</v>
      </c>
      <c r="U38" s="13">
        <f t="shared" ref="U38:U39" si="8">S38-T38</f>
        <v>198000</v>
      </c>
      <c r="V38" s="35" t="s">
        <v>61</v>
      </c>
      <c r="W38" s="35"/>
    </row>
    <row r="39" spans="1:23" ht="24.9" customHeight="1" x14ac:dyDescent="0.3">
      <c r="A39" s="35"/>
      <c r="B39" s="13" t="s">
        <v>56</v>
      </c>
      <c r="C39" s="1">
        <v>45505</v>
      </c>
      <c r="D39" s="25" t="s">
        <v>102</v>
      </c>
      <c r="E39" s="13">
        <v>512668</v>
      </c>
      <c r="F39" s="13"/>
      <c r="G39" s="13">
        <f>E39-F39</f>
        <v>512668</v>
      </c>
      <c r="H39" s="13">
        <f>ROUND(G39*H5,0)</f>
        <v>92280</v>
      </c>
      <c r="I39" s="13">
        <f>ROUND(G39+H39,)</f>
        <v>604948</v>
      </c>
      <c r="J39" s="13">
        <f>G39*$J$5</f>
        <v>5126.68</v>
      </c>
      <c r="K39" s="13">
        <f>G39*$K$5</f>
        <v>25633.4</v>
      </c>
      <c r="L39" s="13">
        <f>G39*$L$5</f>
        <v>51266.8</v>
      </c>
      <c r="M39" s="13">
        <f>G39*$M$5</f>
        <v>51266.8</v>
      </c>
      <c r="N39" s="52">
        <f>H39</f>
        <v>92280</v>
      </c>
      <c r="O39" s="13">
        <v>0</v>
      </c>
      <c r="P39" s="13">
        <f>ROUND(I39-SUM(J39:O39),0)</f>
        <v>379374</v>
      </c>
      <c r="Q39" s="53" t="s">
        <v>99</v>
      </c>
      <c r="R39" s="13"/>
      <c r="S39" s="13">
        <v>200000</v>
      </c>
      <c r="T39" s="13">
        <f>S39*$T$5</f>
        <v>2000</v>
      </c>
      <c r="U39" s="13">
        <f t="shared" si="8"/>
        <v>198000</v>
      </c>
      <c r="V39" s="35" t="s">
        <v>62</v>
      </c>
      <c r="W39" s="35"/>
    </row>
    <row r="40" spans="1:23" ht="24.9" customHeight="1" x14ac:dyDescent="0.3">
      <c r="A40" s="35"/>
      <c r="B40" s="24"/>
      <c r="C40" s="1"/>
      <c r="D40" s="25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23"/>
      <c r="R40" s="13"/>
      <c r="S40" s="13"/>
      <c r="T40" s="13"/>
      <c r="U40" s="13"/>
      <c r="V40" s="35"/>
      <c r="W40" s="35"/>
    </row>
    <row r="41" spans="1:23" s="16" customFormat="1" ht="24.9" customHeight="1" x14ac:dyDescent="0.3">
      <c r="A41" s="36"/>
      <c r="B41" s="26"/>
      <c r="C41" s="18"/>
      <c r="D41" s="2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30">
        <f>A42</f>
        <v>53648</v>
      </c>
      <c r="R41" s="17"/>
      <c r="S41" s="17"/>
      <c r="T41" s="17"/>
      <c r="U41" s="17"/>
      <c r="V41" s="36"/>
      <c r="W41" s="38">
        <f>SUM(P37:P40)-SUM(U37:U40)</f>
        <v>344541</v>
      </c>
    </row>
    <row r="42" spans="1:23" ht="24.9" customHeight="1" x14ac:dyDescent="0.3">
      <c r="A42" s="35">
        <v>53648</v>
      </c>
      <c r="B42" s="24" t="s">
        <v>63</v>
      </c>
      <c r="C42" s="1">
        <v>45015</v>
      </c>
      <c r="D42" s="25" t="s">
        <v>64</v>
      </c>
      <c r="E42" s="13">
        <v>1278543</v>
      </c>
      <c r="F42" s="13">
        <v>0</v>
      </c>
      <c r="G42" s="13">
        <f>E42-F42</f>
        <v>1278543</v>
      </c>
      <c r="H42" s="13">
        <f>ROUND(G42*H5,0)</f>
        <v>230138</v>
      </c>
      <c r="I42" s="13">
        <f>ROUND(G42+H42,)</f>
        <v>1508681</v>
      </c>
      <c r="J42" s="13">
        <f>G42*$J$5</f>
        <v>12785.43</v>
      </c>
      <c r="K42" s="13">
        <f>G42*$K$5</f>
        <v>63927.15</v>
      </c>
      <c r="L42" s="13">
        <f>G42*$L$5</f>
        <v>127854.3</v>
      </c>
      <c r="M42" s="13">
        <f>G42*$M$5</f>
        <v>127854.3</v>
      </c>
      <c r="N42" s="52">
        <f>H42</f>
        <v>230138</v>
      </c>
      <c r="O42" s="13">
        <v>0</v>
      </c>
      <c r="P42" s="13">
        <f>ROUND(I42-SUM(J42:O42),0)</f>
        <v>946122</v>
      </c>
      <c r="Q42" s="23"/>
      <c r="R42" s="13" t="s">
        <v>65</v>
      </c>
      <c r="S42" s="13">
        <v>700000</v>
      </c>
      <c r="T42" s="13">
        <f>S42*$T$5</f>
        <v>7000</v>
      </c>
      <c r="U42" s="13">
        <f>S42-T42</f>
        <v>693000</v>
      </c>
      <c r="V42" s="35" t="s">
        <v>66</v>
      </c>
      <c r="W42" s="35"/>
    </row>
    <row r="43" spans="1:23" ht="24.9" customHeight="1" x14ac:dyDescent="0.3">
      <c r="A43" s="35"/>
      <c r="B43" s="13" t="s">
        <v>80</v>
      </c>
      <c r="C43" s="13"/>
      <c r="D43" s="25" t="s">
        <v>64</v>
      </c>
      <c r="E43" s="13">
        <f>N42</f>
        <v>230138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52">
        <f>E43</f>
        <v>230138</v>
      </c>
      <c r="Q43" s="23"/>
      <c r="R43" s="13"/>
      <c r="S43" s="13">
        <v>400000</v>
      </c>
      <c r="T43" s="13">
        <f>S43*$T$5</f>
        <v>4000</v>
      </c>
      <c r="U43" s="13">
        <f>S43-T43</f>
        <v>396000</v>
      </c>
      <c r="V43" s="35" t="s">
        <v>67</v>
      </c>
      <c r="W43" s="35"/>
    </row>
    <row r="44" spans="1:23" s="16" customFormat="1" ht="24.9" customHeight="1" x14ac:dyDescent="0.3">
      <c r="A44" s="36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30">
        <f>A45</f>
        <v>56218</v>
      </c>
      <c r="R44" s="17"/>
      <c r="S44" s="17"/>
      <c r="T44" s="17"/>
      <c r="U44" s="17"/>
      <c r="V44" s="36"/>
      <c r="W44" s="38">
        <f>SUM(P42:P43)-SUM(U42:U43)</f>
        <v>87260</v>
      </c>
    </row>
    <row r="45" spans="1:23" ht="24.9" customHeight="1" x14ac:dyDescent="0.3">
      <c r="A45" s="35">
        <v>56218</v>
      </c>
      <c r="B45" s="24" t="s">
        <v>68</v>
      </c>
      <c r="C45" s="1">
        <v>45021</v>
      </c>
      <c r="D45" s="25" t="s">
        <v>69</v>
      </c>
      <c r="E45" s="13">
        <v>599669</v>
      </c>
      <c r="F45" s="13">
        <v>0</v>
      </c>
      <c r="G45" s="13">
        <f>E45-F45</f>
        <v>599669</v>
      </c>
      <c r="H45" s="13">
        <f>ROUND(G45*H5,0)</f>
        <v>107940</v>
      </c>
      <c r="I45" s="13">
        <f>ROUND(G45+H45,)</f>
        <v>707609</v>
      </c>
      <c r="J45" s="13">
        <f>G45*$J$5</f>
        <v>5996.6900000000005</v>
      </c>
      <c r="K45" s="13">
        <f>G45*$K$5</f>
        <v>29983.45</v>
      </c>
      <c r="L45" s="13">
        <f>G45*$L$5</f>
        <v>59966.9</v>
      </c>
      <c r="M45" s="13">
        <f>G45*$M$5</f>
        <v>59966.9</v>
      </c>
      <c r="N45" s="52">
        <f>H45</f>
        <v>107940</v>
      </c>
      <c r="O45" s="13">
        <v>0</v>
      </c>
      <c r="P45" s="13">
        <f>ROUND(I45-SUM(J45:O45),0)</f>
        <v>443755</v>
      </c>
      <c r="Q45" s="23"/>
      <c r="R45" s="13" t="s">
        <v>70</v>
      </c>
      <c r="S45" s="13">
        <v>443755</v>
      </c>
      <c r="T45" s="13"/>
      <c r="U45" s="13">
        <f>S45-T45</f>
        <v>443755</v>
      </c>
      <c r="V45" s="37" t="s">
        <v>71</v>
      </c>
      <c r="W45" s="35"/>
    </row>
    <row r="46" spans="1:23" ht="24.9" customHeight="1" x14ac:dyDescent="0.3">
      <c r="A46" s="35"/>
      <c r="B46" s="13" t="s">
        <v>80</v>
      </c>
      <c r="C46" s="13"/>
      <c r="D46" s="25" t="s">
        <v>64</v>
      </c>
      <c r="E46" s="13">
        <f>N45</f>
        <v>107940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52">
        <f>E46</f>
        <v>107940</v>
      </c>
      <c r="Q46" s="23"/>
      <c r="R46" s="13" t="s">
        <v>76</v>
      </c>
      <c r="S46" s="13">
        <v>400000</v>
      </c>
      <c r="T46" s="13">
        <f>S46*$T$5</f>
        <v>4000</v>
      </c>
      <c r="U46" s="13">
        <f>S46-T46</f>
        <v>396000</v>
      </c>
      <c r="V46" s="35" t="s">
        <v>74</v>
      </c>
      <c r="W46" s="35"/>
    </row>
    <row r="47" spans="1:23" ht="24.9" customHeight="1" x14ac:dyDescent="0.3">
      <c r="A47" s="35"/>
      <c r="B47" s="24" t="s">
        <v>68</v>
      </c>
      <c r="C47" s="1">
        <v>45299</v>
      </c>
      <c r="D47" s="25">
        <v>10</v>
      </c>
      <c r="E47" s="13">
        <v>133107</v>
      </c>
      <c r="F47" s="13">
        <v>0</v>
      </c>
      <c r="G47" s="13">
        <f>E47-F47</f>
        <v>133107</v>
      </c>
      <c r="H47" s="13">
        <f>ROUND(G47*H5,0)</f>
        <v>23959</v>
      </c>
      <c r="I47" s="13">
        <f>ROUND(G47+H47,)</f>
        <v>157066</v>
      </c>
      <c r="J47" s="13">
        <f>G47*$J$5</f>
        <v>1331.07</v>
      </c>
      <c r="K47" s="13">
        <f>G47*$K$5</f>
        <v>6655.35</v>
      </c>
      <c r="L47" s="13">
        <f>G47*$L$5</f>
        <v>13310.7</v>
      </c>
      <c r="M47" s="13">
        <f>G47*$M$5</f>
        <v>13310.7</v>
      </c>
      <c r="N47" s="52">
        <f>H47</f>
        <v>23959</v>
      </c>
      <c r="O47" s="13">
        <v>1605</v>
      </c>
      <c r="P47" s="13">
        <f>ROUND(I47-SUM(J47:O47),0)</f>
        <v>96894</v>
      </c>
      <c r="Q47" s="23"/>
      <c r="R47" s="13" t="s">
        <v>77</v>
      </c>
      <c r="S47" s="13">
        <v>500000</v>
      </c>
      <c r="T47" s="13">
        <f>S47*$T$5</f>
        <v>5000</v>
      </c>
      <c r="U47" s="13">
        <f>S47-T47</f>
        <v>495000</v>
      </c>
      <c r="V47" s="35" t="s">
        <v>75</v>
      </c>
      <c r="W47" s="35"/>
    </row>
    <row r="48" spans="1:23" ht="24.9" customHeight="1" x14ac:dyDescent="0.3">
      <c r="A48" s="35"/>
      <c r="B48" s="24" t="s">
        <v>80</v>
      </c>
      <c r="C48" s="1"/>
      <c r="D48" s="25">
        <v>10</v>
      </c>
      <c r="E48" s="13">
        <f>N47</f>
        <v>23959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52">
        <f>E48</f>
        <v>23959</v>
      </c>
      <c r="Q48" s="23"/>
      <c r="R48" s="13"/>
      <c r="S48" s="13"/>
      <c r="T48" s="13"/>
      <c r="U48" s="13"/>
      <c r="V48" s="35"/>
      <c r="W48" s="35"/>
    </row>
    <row r="49" spans="1:23" s="16" customFormat="1" ht="24.9" customHeight="1" x14ac:dyDescent="0.2">
      <c r="A49" s="3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30">
        <f>A50</f>
        <v>57013</v>
      </c>
      <c r="R49" s="17"/>
      <c r="S49" s="17"/>
      <c r="T49" s="17"/>
      <c r="U49" s="17"/>
      <c r="V49" s="40"/>
      <c r="W49" s="38">
        <f>SUM(P45:P48)-SUM(U45:U48)</f>
        <v>-662207</v>
      </c>
    </row>
    <row r="50" spans="1:23" ht="24.9" customHeight="1" x14ac:dyDescent="0.3">
      <c r="A50" s="35">
        <v>57013</v>
      </c>
      <c r="B50" s="13" t="s">
        <v>78</v>
      </c>
      <c r="C50" s="28">
        <v>45041</v>
      </c>
      <c r="D50" s="13" t="s">
        <v>79</v>
      </c>
      <c r="E50" s="13">
        <v>1597771</v>
      </c>
      <c r="F50" s="13">
        <v>0</v>
      </c>
      <c r="G50" s="13">
        <f>E50-F50</f>
        <v>1597771</v>
      </c>
      <c r="H50" s="13">
        <f>G50*18%</f>
        <v>287598.77999999997</v>
      </c>
      <c r="I50" s="13">
        <f>G50+H50</f>
        <v>1885369.78</v>
      </c>
      <c r="J50" s="13">
        <f>G50*1%</f>
        <v>15977.710000000001</v>
      </c>
      <c r="K50" s="13">
        <f>G50*5%</f>
        <v>79888.55</v>
      </c>
      <c r="L50" s="13">
        <f>G50*10%</f>
        <v>159777.1</v>
      </c>
      <c r="M50" s="13">
        <f>G50*10%</f>
        <v>159777.1</v>
      </c>
      <c r="N50" s="52">
        <f>H50</f>
        <v>287598.77999999997</v>
      </c>
      <c r="O50" s="13">
        <v>74885</v>
      </c>
      <c r="P50" s="13">
        <f>I50-J50-K50-L50-M50-N50-O50</f>
        <v>1107465.5399999998</v>
      </c>
      <c r="Q50" s="23"/>
      <c r="R50" s="13" t="s">
        <v>77</v>
      </c>
      <c r="S50" s="13">
        <v>50000</v>
      </c>
      <c r="T50" s="13">
        <f>S50*$T$5</f>
        <v>500</v>
      </c>
      <c r="U50" s="13">
        <f>S50-T50</f>
        <v>49500</v>
      </c>
      <c r="V50" s="35" t="s">
        <v>86</v>
      </c>
      <c r="W50" s="35"/>
    </row>
    <row r="51" spans="1:23" ht="24.9" customHeight="1" x14ac:dyDescent="0.3">
      <c r="A51" s="35"/>
      <c r="B51" s="13"/>
      <c r="C51" s="13"/>
      <c r="D51" s="13" t="s">
        <v>93</v>
      </c>
      <c r="E51" s="13">
        <f>N50</f>
        <v>287598.77999999997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52">
        <f>E51</f>
        <v>287598.77999999997</v>
      </c>
      <c r="Q51" s="23"/>
      <c r="R51" s="13" t="s">
        <v>77</v>
      </c>
      <c r="S51" s="13">
        <v>400000</v>
      </c>
      <c r="T51" s="13">
        <f>S51*$T$5</f>
        <v>4000</v>
      </c>
      <c r="U51" s="13">
        <f>S51-T51</f>
        <v>396000</v>
      </c>
      <c r="V51" s="35" t="s">
        <v>87</v>
      </c>
      <c r="W51" s="35"/>
    </row>
    <row r="52" spans="1:23" ht="24.9" customHeight="1" x14ac:dyDescent="0.3">
      <c r="A52" s="35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3"/>
      <c r="R52" s="13" t="s">
        <v>77</v>
      </c>
      <c r="S52" s="13">
        <v>500000</v>
      </c>
      <c r="T52" s="13">
        <f>S52*$T$5</f>
        <v>5000</v>
      </c>
      <c r="U52" s="13">
        <f>S52-T52</f>
        <v>495000</v>
      </c>
      <c r="V52" s="35" t="s">
        <v>89</v>
      </c>
      <c r="W52" s="35"/>
    </row>
    <row r="53" spans="1:23" ht="24.9" customHeight="1" x14ac:dyDescent="0.3">
      <c r="A53" s="35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23"/>
      <c r="R53" s="13"/>
      <c r="S53" s="13">
        <v>500000</v>
      </c>
      <c r="T53" s="13">
        <f>S53*$T$5</f>
        <v>5000</v>
      </c>
      <c r="U53" s="13">
        <v>495000</v>
      </c>
      <c r="V53" s="35" t="s">
        <v>90</v>
      </c>
      <c r="W53" s="35"/>
    </row>
    <row r="54" spans="1:23" s="16" customFormat="1" ht="24.9" customHeight="1" x14ac:dyDescent="0.2">
      <c r="A54" s="36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30"/>
      <c r="R54" s="17"/>
      <c r="S54" s="17"/>
      <c r="T54" s="17"/>
      <c r="U54" s="17"/>
      <c r="V54" s="40"/>
      <c r="W54" s="38">
        <f>SUM(P50:P54)-SUM(U50:U54)</f>
        <v>-40435.680000000168</v>
      </c>
    </row>
    <row r="55" spans="1:23" ht="24.9" customHeight="1" x14ac:dyDescent="0.3">
      <c r="A55" s="35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3"/>
      <c r="R55" s="13"/>
      <c r="S55" s="13"/>
      <c r="T55" s="13"/>
      <c r="U55" s="13"/>
      <c r="V55" s="35"/>
      <c r="W55" s="35"/>
    </row>
    <row r="56" spans="1:23" ht="24.9" customHeight="1" x14ac:dyDescent="0.3">
      <c r="A56" s="35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23"/>
      <c r="R56" s="13"/>
      <c r="S56" s="13"/>
      <c r="T56" s="13"/>
      <c r="U56" s="13"/>
      <c r="V56" s="35"/>
      <c r="W56" s="35"/>
    </row>
    <row r="57" spans="1:23" ht="24.9" customHeight="1" x14ac:dyDescent="0.3">
      <c r="A57" s="35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23"/>
      <c r="R57" s="13"/>
      <c r="S57" s="13"/>
      <c r="T57" s="13"/>
      <c r="U57" s="13"/>
      <c r="V57" s="35"/>
      <c r="W57" s="35"/>
    </row>
    <row r="58" spans="1:23" ht="24.9" customHeight="1" thickBot="1" x14ac:dyDescent="0.35">
      <c r="A58" s="48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3"/>
      <c r="R58" s="32"/>
      <c r="S58" s="32"/>
      <c r="T58" s="32"/>
      <c r="U58" s="32"/>
      <c r="V58" s="48"/>
      <c r="W58" s="48"/>
    </row>
    <row r="59" spans="1:23" ht="24.9" customHeight="1" x14ac:dyDescent="0.3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50" t="s">
        <v>20</v>
      </c>
      <c r="S59" s="50"/>
      <c r="T59" s="34"/>
      <c r="U59" s="50">
        <f>SUM(U5:U55)</f>
        <v>12373255</v>
      </c>
      <c r="V59" s="49"/>
      <c r="W59" s="50">
        <f>SUM(W6:W55)</f>
        <v>-1128543.6800000002</v>
      </c>
    </row>
    <row r="60" spans="1:23" ht="24.9" customHeight="1" thickBot="1" x14ac:dyDescent="0.3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41">
        <f t="shared" ref="K60:O60" si="9">SUM(K7:K55)</f>
        <v>673925.67499999993</v>
      </c>
      <c r="L60" s="41">
        <f t="shared" si="9"/>
        <v>1347851.3499999999</v>
      </c>
      <c r="M60" s="41">
        <f t="shared" si="9"/>
        <v>1347851.3499999999</v>
      </c>
      <c r="N60" s="41">
        <f t="shared" si="9"/>
        <v>2426132.7799999998</v>
      </c>
      <c r="O60" s="41">
        <f t="shared" si="9"/>
        <v>603134</v>
      </c>
      <c r="P60" s="41">
        <f>SUM(P7:P55)</f>
        <v>11244711.319999998</v>
      </c>
      <c r="Q60" s="41"/>
      <c r="R60" s="41" t="s">
        <v>21</v>
      </c>
      <c r="S60" s="14"/>
      <c r="T60" s="42"/>
      <c r="U60" s="41">
        <f>P60-U59</f>
        <v>-1128543.6800000016</v>
      </c>
      <c r="V60" s="14"/>
      <c r="W60" s="42"/>
    </row>
    <row r="61" spans="1:23" ht="24.9" customHeight="1" x14ac:dyDescent="0.3">
      <c r="U61" s="51">
        <f>P39+P33+P31+P8</f>
        <v>1467206</v>
      </c>
    </row>
    <row r="62" spans="1:23" ht="24.9" customHeight="1" thickBot="1" x14ac:dyDescent="0.35">
      <c r="O62" s="51">
        <f>K60+L60+M60</f>
        <v>3369628.375</v>
      </c>
    </row>
    <row r="63" spans="1:23" ht="24.9" customHeight="1" thickBot="1" x14ac:dyDescent="0.35">
      <c r="J63" s="69" t="s">
        <v>24</v>
      </c>
      <c r="K63" s="70"/>
      <c r="L63" s="70"/>
      <c r="M63" s="71"/>
    </row>
    <row r="64" spans="1:23" ht="24.9" customHeight="1" thickBot="1" x14ac:dyDescent="0.35">
      <c r="J64" s="72" t="s">
        <v>104</v>
      </c>
      <c r="K64" s="73"/>
      <c r="L64" s="73"/>
      <c r="M64" s="74"/>
    </row>
    <row r="65" spans="10:13" ht="24.9" customHeight="1" thickBot="1" x14ac:dyDescent="0.35">
      <c r="J65" s="63" t="s">
        <v>83</v>
      </c>
      <c r="K65" s="64"/>
      <c r="L65" s="65">
        <f>N7</f>
        <v>195501</v>
      </c>
      <c r="M65" s="66"/>
    </row>
    <row r="66" spans="10:13" ht="24.9" customHeight="1" thickBot="1" x14ac:dyDescent="0.35">
      <c r="J66" s="63" t="s">
        <v>81</v>
      </c>
      <c r="K66" s="64"/>
      <c r="L66" s="65">
        <f>K60+L60+M60</f>
        <v>3369628.375</v>
      </c>
      <c r="M66" s="66"/>
    </row>
    <row r="67" spans="10:13" ht="24.9" customHeight="1" thickBot="1" x14ac:dyDescent="0.35">
      <c r="J67" s="63" t="s">
        <v>82</v>
      </c>
      <c r="K67" s="64"/>
      <c r="L67" s="65">
        <f>U60</f>
        <v>-1128543.6800000016</v>
      </c>
      <c r="M67" s="66"/>
    </row>
    <row r="68" spans="10:13" ht="24.9" customHeight="1" thickBot="1" x14ac:dyDescent="0.35">
      <c r="J68" s="63" t="s">
        <v>96</v>
      </c>
      <c r="K68" s="64"/>
      <c r="L68" s="65">
        <f>O60</f>
        <v>603134</v>
      </c>
      <c r="M68" s="66"/>
    </row>
    <row r="69" spans="10:13" ht="24.9" customHeight="1" thickBot="1" x14ac:dyDescent="0.35">
      <c r="J69" s="63" t="s">
        <v>105</v>
      </c>
      <c r="K69" s="64"/>
      <c r="L69" s="65" t="s">
        <v>106</v>
      </c>
      <c r="M69" s="66"/>
    </row>
  </sheetData>
  <mergeCells count="13">
    <mergeCell ref="J69:K69"/>
    <mergeCell ref="L69:M69"/>
    <mergeCell ref="J66:K66"/>
    <mergeCell ref="L66:M66"/>
    <mergeCell ref="J67:K67"/>
    <mergeCell ref="L67:M67"/>
    <mergeCell ref="J68:K68"/>
    <mergeCell ref="L68:M68"/>
    <mergeCell ref="J65:K65"/>
    <mergeCell ref="L65:M65"/>
    <mergeCell ref="W4:W5"/>
    <mergeCell ref="J63:M63"/>
    <mergeCell ref="J64:M64"/>
  </mergeCells>
  <phoneticPr fontId="11" type="noConversion"/>
  <pageMargins left="0.11811023622047245" right="0.11811023622047245" top="0.15748031496062992" bottom="0.15748031496062992" header="0.31496062992125984" footer="0.31496062992125984"/>
  <pageSetup scale="69" fitToHeight="0" orientation="landscape" r:id="rId1"/>
  <ignoredErrors>
    <ignoredError sqref="P46 P26:P28 P22:P2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workbookViewId="0">
      <selection activeCell="B16" sqref="B16"/>
    </sheetView>
  </sheetViews>
  <sheetFormatPr defaultRowHeight="14.4" x14ac:dyDescent="0.3"/>
  <cols>
    <col min="1" max="1" width="11.44140625" bestFit="1" customWidth="1"/>
    <col min="2" max="2" width="89.33203125" bestFit="1" customWidth="1"/>
  </cols>
  <sheetData>
    <row r="1" spans="1:2" x14ac:dyDescent="0.3">
      <c r="A1" s="56" t="s">
        <v>110</v>
      </c>
      <c r="B1" s="56" t="s">
        <v>11</v>
      </c>
    </row>
    <row r="2" spans="1:2" x14ac:dyDescent="0.3">
      <c r="A2" s="57">
        <v>150000</v>
      </c>
      <c r="B2" s="58" t="s">
        <v>107</v>
      </c>
    </row>
    <row r="3" spans="1:2" x14ac:dyDescent="0.3">
      <c r="A3" s="57">
        <v>300000</v>
      </c>
      <c r="B3" s="59" t="s">
        <v>108</v>
      </c>
    </row>
    <row r="4" spans="1:2" x14ac:dyDescent="0.3">
      <c r="A4" s="57">
        <v>250000</v>
      </c>
      <c r="B4" s="59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 (2)</vt:lpstr>
      <vt:lpstr>Sheet1</vt:lpstr>
      <vt:lpstr>Sheet2</vt:lpstr>
      <vt:lpstr>Sheet1!Print_Area</vt:lpstr>
      <vt:lpstr>'Sheet1 (2)'!Print_Area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2024-10-04T09:11:02Z</cp:lastPrinted>
  <dcterms:created xsi:type="dcterms:W3CDTF">2022-06-10T14:11:52Z</dcterms:created>
  <dcterms:modified xsi:type="dcterms:W3CDTF">2025-05-28T12:06:09Z</dcterms:modified>
</cp:coreProperties>
</file>