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E18EF0F7-E795-49EC-B200-CDE13A7A02F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Sheet1!$R$1:$R$145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7" i="1" l="1"/>
  <c r="H117" i="1" s="1"/>
  <c r="G116" i="1"/>
  <c r="H116" i="1" s="1"/>
  <c r="O116" i="1" s="1"/>
  <c r="J117" i="1" l="1"/>
  <c r="O117" i="1"/>
  <c r="E118" i="1" s="1"/>
  <c r="P118" i="1" s="1"/>
  <c r="I117" i="1"/>
  <c r="I116" i="1"/>
  <c r="J116" i="1"/>
  <c r="G83" i="1"/>
  <c r="J83" i="1" s="1"/>
  <c r="R119" i="1"/>
  <c r="G114" i="1"/>
  <c r="J114" i="1" s="1"/>
  <c r="P117" i="1" l="1"/>
  <c r="P116" i="1"/>
  <c r="M83" i="1"/>
  <c r="K83" i="1"/>
  <c r="H83" i="1"/>
  <c r="O83" i="1" s="1"/>
  <c r="E84" i="1" s="1"/>
  <c r="P84" i="1" s="1"/>
  <c r="L83" i="1"/>
  <c r="H114" i="1"/>
  <c r="O114" i="1" s="1"/>
  <c r="E115" i="1" s="1"/>
  <c r="P115" i="1" s="1"/>
  <c r="I114" i="1"/>
  <c r="G63" i="1"/>
  <c r="M63" i="1" s="1"/>
  <c r="I83" i="1" l="1"/>
  <c r="P83" i="1" s="1"/>
  <c r="T83" i="1" s="1"/>
  <c r="P114" i="1"/>
  <c r="T114" i="1" s="1"/>
  <c r="J63" i="1"/>
  <c r="K63" i="1"/>
  <c r="H63" i="1"/>
  <c r="L63" i="1"/>
  <c r="G92" i="1"/>
  <c r="K92" i="1" s="1"/>
  <c r="Q109" i="1"/>
  <c r="G110" i="1"/>
  <c r="J110" i="1" s="1"/>
  <c r="G99" i="1"/>
  <c r="K99" i="1" s="1"/>
  <c r="G106" i="1"/>
  <c r="M106" i="1" s="1"/>
  <c r="O63" i="1" l="1"/>
  <c r="E64" i="1" s="1"/>
  <c r="P64" i="1" s="1"/>
  <c r="I63" i="1"/>
  <c r="H92" i="1"/>
  <c r="O92" i="1" s="1"/>
  <c r="E93" i="1" s="1"/>
  <c r="P93" i="1" s="1"/>
  <c r="L92" i="1"/>
  <c r="H99" i="1"/>
  <c r="I99" i="1" s="1"/>
  <c r="M92" i="1"/>
  <c r="J92" i="1"/>
  <c r="M99" i="1"/>
  <c r="J99" i="1"/>
  <c r="L99" i="1"/>
  <c r="M110" i="1"/>
  <c r="K110" i="1"/>
  <c r="H110" i="1"/>
  <c r="O110" i="1" s="1"/>
  <c r="E111" i="1" s="1"/>
  <c r="P111" i="1" s="1"/>
  <c r="L110" i="1"/>
  <c r="T96" i="1"/>
  <c r="J106" i="1"/>
  <c r="K106" i="1"/>
  <c r="H106" i="1"/>
  <c r="O106" i="1" s="1"/>
  <c r="E107" i="1" s="1"/>
  <c r="P107" i="1" s="1"/>
  <c r="L106" i="1"/>
  <c r="G75" i="1"/>
  <c r="M75" i="1" s="1"/>
  <c r="I92" i="1" l="1"/>
  <c r="P92" i="1" s="1"/>
  <c r="T92" i="1" s="1"/>
  <c r="P63" i="1"/>
  <c r="O99" i="1"/>
  <c r="I110" i="1"/>
  <c r="P110" i="1" s="1"/>
  <c r="T110" i="1" s="1"/>
  <c r="I106" i="1"/>
  <c r="P106" i="1" s="1"/>
  <c r="T106" i="1" s="1"/>
  <c r="L75" i="1"/>
  <c r="H75" i="1"/>
  <c r="O75" i="1" s="1"/>
  <c r="E76" i="1" s="1"/>
  <c r="P76" i="1" s="1"/>
  <c r="J75" i="1"/>
  <c r="K75" i="1"/>
  <c r="N119" i="1"/>
  <c r="P99" i="1" l="1"/>
  <c r="E100" i="1"/>
  <c r="P100" i="1" s="1"/>
  <c r="I75" i="1"/>
  <c r="P75" i="1" s="1"/>
  <c r="T99" i="1" l="1"/>
  <c r="Q82" i="1"/>
  <c r="G73" i="1" l="1"/>
  <c r="L73" i="1" s="1"/>
  <c r="K73" i="1" l="1"/>
  <c r="M73" i="1"/>
  <c r="H73" i="1"/>
  <c r="O73" i="1" s="1"/>
  <c r="E74" i="1" s="1"/>
  <c r="P74" i="1" s="1"/>
  <c r="J73" i="1"/>
  <c r="I73" i="1" l="1"/>
  <c r="P73" i="1" s="1"/>
  <c r="G54" i="1"/>
  <c r="K54" i="1" s="1"/>
  <c r="G36" i="1"/>
  <c r="K36" i="1" s="1"/>
  <c r="L36" i="1" l="1"/>
  <c r="M36" i="1"/>
  <c r="H54" i="1"/>
  <c r="O54" i="1" s="1"/>
  <c r="E55" i="1" s="1"/>
  <c r="P55" i="1" s="1"/>
  <c r="L54" i="1"/>
  <c r="M54" i="1"/>
  <c r="J54" i="1"/>
  <c r="H36" i="1"/>
  <c r="O36" i="1" s="1"/>
  <c r="E37" i="1" s="1"/>
  <c r="P37" i="1" s="1"/>
  <c r="J36" i="1"/>
  <c r="Q78" i="1"/>
  <c r="G79" i="1"/>
  <c r="M79" i="1" s="1"/>
  <c r="I36" i="1" l="1"/>
  <c r="P36" i="1" s="1"/>
  <c r="I54" i="1"/>
  <c r="P54" i="1" s="1"/>
  <c r="J79" i="1"/>
  <c r="K79" i="1"/>
  <c r="L79" i="1"/>
  <c r="H79" i="1"/>
  <c r="O79" i="1" s="1"/>
  <c r="E80" i="1" s="1"/>
  <c r="P80" i="1" s="1"/>
  <c r="K126" i="1"/>
  <c r="I79" i="1" l="1"/>
  <c r="P79" i="1" s="1"/>
  <c r="T79" i="1" s="1"/>
  <c r="G61" i="1"/>
  <c r="K61" i="1" s="1"/>
  <c r="Q68" i="1"/>
  <c r="Q56" i="1"/>
  <c r="Q49" i="1"/>
  <c r="Q44" i="1"/>
  <c r="Q40" i="1"/>
  <c r="Q31" i="1"/>
  <c r="Q18" i="1"/>
  <c r="Q7" i="1"/>
  <c r="M61" i="1" l="1"/>
  <c r="H61" i="1"/>
  <c r="O61" i="1" s="1"/>
  <c r="E62" i="1" s="1"/>
  <c r="P62" i="1" s="1"/>
  <c r="L61" i="1"/>
  <c r="J61" i="1"/>
  <c r="G71" i="1"/>
  <c r="M71" i="1" s="1"/>
  <c r="I61" i="1" l="1"/>
  <c r="P61" i="1" s="1"/>
  <c r="L71" i="1"/>
  <c r="K71" i="1"/>
  <c r="J71" i="1"/>
  <c r="H71" i="1"/>
  <c r="O71" i="1" s="1"/>
  <c r="E72" i="1" s="1"/>
  <c r="P72" i="1" s="1"/>
  <c r="I71" i="1" l="1"/>
  <c r="P71" i="1" s="1"/>
  <c r="G52" i="1"/>
  <c r="K52" i="1" s="1"/>
  <c r="G50" i="1"/>
  <c r="J50" i="1" s="1"/>
  <c r="G25" i="1"/>
  <c r="L25" i="1" s="1"/>
  <c r="M50" i="1" l="1"/>
  <c r="L50" i="1"/>
  <c r="H52" i="1"/>
  <c r="O52" i="1" s="1"/>
  <c r="E53" i="1" s="1"/>
  <c r="P53" i="1" s="1"/>
  <c r="L52" i="1"/>
  <c r="M52" i="1"/>
  <c r="J52" i="1"/>
  <c r="K50" i="1"/>
  <c r="H50" i="1"/>
  <c r="O50" i="1" s="1"/>
  <c r="E51" i="1" s="1"/>
  <c r="G51" i="1" s="1"/>
  <c r="I51" i="1" s="1"/>
  <c r="P51" i="1" s="1"/>
  <c r="K25" i="1"/>
  <c r="J25" i="1"/>
  <c r="H25" i="1"/>
  <c r="O25" i="1" s="1"/>
  <c r="E26" i="1" s="1"/>
  <c r="P26" i="1" s="1"/>
  <c r="M25" i="1"/>
  <c r="P58" i="1"/>
  <c r="G59" i="1"/>
  <c r="L59" i="1" s="1"/>
  <c r="G46" i="1"/>
  <c r="H46" i="1" s="1"/>
  <c r="G41" i="1"/>
  <c r="J41" i="1" s="1"/>
  <c r="P70" i="1"/>
  <c r="P11" i="1"/>
  <c r="I52" i="1" l="1"/>
  <c r="P52" i="1" s="1"/>
  <c r="I50" i="1"/>
  <c r="P50" i="1" s="1"/>
  <c r="I25" i="1"/>
  <c r="P25" i="1" s="1"/>
  <c r="K59" i="1"/>
  <c r="M59" i="1"/>
  <c r="J59" i="1"/>
  <c r="H59" i="1"/>
  <c r="O59" i="1" s="1"/>
  <c r="E60" i="1" s="1"/>
  <c r="P60" i="1" s="1"/>
  <c r="L41" i="1"/>
  <c r="K41" i="1"/>
  <c r="H41" i="1"/>
  <c r="M41" i="1"/>
  <c r="F69" i="1"/>
  <c r="G69" i="1" s="1"/>
  <c r="T50" i="1" l="1"/>
  <c r="O41" i="1"/>
  <c r="E42" i="1"/>
  <c r="P42" i="1" s="1"/>
  <c r="I59" i="1"/>
  <c r="P59" i="1" s="1"/>
  <c r="P41" i="1"/>
  <c r="I41" i="1"/>
  <c r="H69" i="1"/>
  <c r="O69" i="1" s="1"/>
  <c r="L69" i="1"/>
  <c r="M69" i="1"/>
  <c r="K69" i="1"/>
  <c r="J69" i="1"/>
  <c r="T41" i="1" l="1"/>
  <c r="I69" i="1"/>
  <c r="P69" i="1" s="1"/>
  <c r="T69" i="1" s="1"/>
  <c r="G35" i="1"/>
  <c r="I35" i="1" s="1"/>
  <c r="P35" i="1" s="1"/>
  <c r="G48" i="1" l="1"/>
  <c r="I48" i="1" s="1"/>
  <c r="P48" i="1" s="1"/>
  <c r="G47" i="1"/>
  <c r="I47" i="1" s="1"/>
  <c r="P47" i="1" s="1"/>
  <c r="F57" i="1" l="1"/>
  <c r="G57" i="1" s="1"/>
  <c r="H57" i="1" l="1"/>
  <c r="O57" i="1" s="1"/>
  <c r="L57" i="1"/>
  <c r="K57" i="1"/>
  <c r="J57" i="1"/>
  <c r="M57" i="1"/>
  <c r="I57" i="1" l="1"/>
  <c r="P57" i="1" s="1"/>
  <c r="T57" i="1" s="1"/>
  <c r="J46" i="1" l="1"/>
  <c r="O46" i="1"/>
  <c r="I46" i="1"/>
  <c r="K46" i="1"/>
  <c r="G24" i="1"/>
  <c r="I24" i="1" s="1"/>
  <c r="P24" i="1" s="1"/>
  <c r="F23" i="1"/>
  <c r="G23" i="1" s="1"/>
  <c r="G22" i="1"/>
  <c r="I22" i="1" s="1"/>
  <c r="P22" i="1" s="1"/>
  <c r="G21" i="1"/>
  <c r="I21" i="1" s="1"/>
  <c r="P21" i="1" s="1"/>
  <c r="G20" i="1"/>
  <c r="M20" i="1" s="1"/>
  <c r="G19" i="1"/>
  <c r="K19" i="1" l="1"/>
  <c r="H19" i="1"/>
  <c r="O19" i="1" s="1"/>
  <c r="K23" i="1"/>
  <c r="H23" i="1"/>
  <c r="O23" i="1" s="1"/>
  <c r="J19" i="1"/>
  <c r="M19" i="1"/>
  <c r="P46" i="1"/>
  <c r="L23" i="1"/>
  <c r="J20" i="1"/>
  <c r="M23" i="1"/>
  <c r="L19" i="1"/>
  <c r="K20" i="1"/>
  <c r="H20" i="1"/>
  <c r="O20" i="1" s="1"/>
  <c r="L20" i="1"/>
  <c r="J23" i="1"/>
  <c r="F45" i="1"/>
  <c r="G45" i="1" s="1"/>
  <c r="H45" i="1" s="1"/>
  <c r="I19" i="1" l="1"/>
  <c r="P19" i="1" s="1"/>
  <c r="I23" i="1"/>
  <c r="P23" i="1" s="1"/>
  <c r="I20" i="1"/>
  <c r="P20" i="1" s="1"/>
  <c r="O45" i="1"/>
  <c r="K45" i="1"/>
  <c r="J45" i="1"/>
  <c r="G34" i="1"/>
  <c r="H34" i="1" s="1"/>
  <c r="T19" i="1" l="1"/>
  <c r="I45" i="1"/>
  <c r="P45" i="1" s="1"/>
  <c r="T45" i="1" s="1"/>
  <c r="O34" i="1"/>
  <c r="I34" i="1"/>
  <c r="J34" i="1"/>
  <c r="K34" i="1"/>
  <c r="G33" i="1"/>
  <c r="I33" i="1" s="1"/>
  <c r="P33" i="1" s="1"/>
  <c r="G32" i="1"/>
  <c r="H32" i="1" s="1"/>
  <c r="K32" i="1" l="1"/>
  <c r="J32" i="1"/>
  <c r="L32" i="1"/>
  <c r="I32" i="1"/>
  <c r="M32" i="1"/>
  <c r="P34" i="1"/>
  <c r="O32" i="1"/>
  <c r="P32" i="1" l="1"/>
  <c r="T32" i="1" s="1"/>
  <c r="G9" i="1"/>
  <c r="J9" i="1" s="1"/>
  <c r="L9" i="1" l="1"/>
  <c r="H9" i="1"/>
  <c r="O9" i="1" s="1"/>
  <c r="K9" i="1"/>
  <c r="M9" i="1"/>
  <c r="I9" i="1" l="1"/>
  <c r="P9" i="1" s="1"/>
  <c r="F8" i="1" l="1"/>
  <c r="G8" i="1" l="1"/>
  <c r="H8" i="1" l="1"/>
  <c r="I8" i="1" s="1"/>
  <c r="M8" i="1"/>
  <c r="M119" i="1" s="1"/>
  <c r="K8" i="1"/>
  <c r="K119" i="1" s="1"/>
  <c r="J8" i="1"/>
  <c r="J119" i="1" s="1"/>
  <c r="L8" i="1"/>
  <c r="L119" i="1" s="1"/>
  <c r="J125" i="1" l="1"/>
  <c r="O8" i="1"/>
  <c r="O119" i="1" s="1"/>
  <c r="J128" i="1" s="1"/>
  <c r="P8" i="1" l="1"/>
  <c r="T8" i="1" l="1"/>
  <c r="T120" i="1" s="1"/>
  <c r="P119" i="1"/>
  <c r="R120" i="1" s="1"/>
  <c r="J127" i="1" l="1"/>
  <c r="R123" i="1" l="1"/>
</calcChain>
</file>

<file path=xl/sharedStrings.xml><?xml version="1.0" encoding="utf-8"?>
<sst xmlns="http://schemas.openxmlformats.org/spreadsheetml/2006/main" count="191" uniqueCount="144">
  <si>
    <t>Amount</t>
  </si>
  <si>
    <t>UTR</t>
  </si>
  <si>
    <t>Hold the Amount because the Qty. is more then the DPR</t>
  </si>
  <si>
    <t>Tarachand Civil &amp; Engineering Services</t>
  </si>
  <si>
    <t xml:space="preserve">Garhi Durganpur Village Pipe laying work </t>
  </si>
  <si>
    <t>15-12-2022 IFT/IFT22349007648/RIUP22/1527/TARACHAND CIVIL AN 98000.00</t>
  </si>
  <si>
    <t>31-12-2022 IFT/IFT22365031246/RIUP22/1700/TARACHAND CIVIL AN 45996.00</t>
  </si>
  <si>
    <t>01-03-2023 IFT/IFT23060041289/RIUP22/2393/TARACHAND CIVIL AN 147000.00</t>
  </si>
  <si>
    <t>20-04-2023 20-04-2023 IFT/IFT23110031771/SPUP23/0211A/TARACHAND CIVIL A 196000.00</t>
  </si>
  <si>
    <t>GST Release Note</t>
  </si>
  <si>
    <t>13-06-2023 IFT/IFT23164043532/RIUP23/607/TARACHAND CIVIL AND 91598.00</t>
  </si>
  <si>
    <t xml:space="preserve">Nirmana Village Pipe laying work </t>
  </si>
  <si>
    <t>GST release note</t>
  </si>
  <si>
    <t>07-02-2023 IFT/IFT23038098506/RIUP22/2123/TARACHAND CIVIL AN ₹ 1,96,000.00</t>
  </si>
  <si>
    <t>01-03-2023 IFT/IFT23060041291/RIUP22/2394/TARACHAND CIVIL AN 196000.00</t>
  </si>
  <si>
    <t>20-03-2023 IFT/IFT23079035099/RIUP22/2674/TARACHAND CIVIL AN 196000.00</t>
  </si>
  <si>
    <t>20-04-2023 20-04-2023 IFT/IFT23110031770/SPUP23/0211/TARACHAND CIVIL AN 147000.00</t>
  </si>
  <si>
    <t>24-05-2023 IFT/IFT23144016073/RIUP23/246/TARACHAND CIVIL AND 77022.00</t>
  </si>
  <si>
    <t>02-06-2023 IFT/IFT23153018888/RIUP23/470/TARACHAND CIVIL AND 124506.00</t>
  </si>
  <si>
    <t xml:space="preserve">Dabal Village Pipe laying work </t>
  </si>
  <si>
    <t>27-06-2023 IFT/IFT23178022096/RIUP23/918/TARACHAND CIVIL AND 294000.00</t>
  </si>
  <si>
    <t>21-06-2023 IFT/IFT23172023840/RIUP23/785/TARACHAND CIVIL AND 196000.00</t>
  </si>
  <si>
    <t>GST Release note</t>
  </si>
  <si>
    <t>11-07-2023 IFT/IFT6562458563/RIUP23/994/TARACHAND CIVIL AND 405464.00</t>
  </si>
  <si>
    <t>24-08-2023 IFT/IFT23236018743/RIUP23/1685/TARACHAND CIVIL AN 147000.00</t>
  </si>
  <si>
    <t>17-08-2023 IFT/IFT23229030858/RIUP23/1575/TARACHAND CIVIL AN 161945.0</t>
  </si>
  <si>
    <t>08-08-2023 IFT/IFT23220049167/RIUP23/1396/TARACHAND CIVIL AN 354492.00</t>
  </si>
  <si>
    <t>31-08-2023 IFT/IFT23243083241/RIUP23/1799/TARACHAND CIVIL AN 312679.00</t>
  </si>
  <si>
    <t>13-09-2023 IFT/IFT23256037226/RIUP23/1982/TARACHAND CIVIL AN 717053.00</t>
  </si>
  <si>
    <t>GST Rtelease note</t>
  </si>
  <si>
    <t xml:space="preserve">Alipur Aterna Village Pipe laying work </t>
  </si>
  <si>
    <t>30-09-2023 IFT/IFT23273205267/RIUP23/2355/TARACHAND CIVIL AN 68611.00</t>
  </si>
  <si>
    <t>13-10-2023 IFT/IFT23286012045/RIUP23/2504/TARACHAND CIVIL AN ₹ 5,94,764.00</t>
  </si>
  <si>
    <t xml:space="preserve">MOLAHERI Village Pipe laying work </t>
  </si>
  <si>
    <t>09-03-2023 IFT/IFT23068019163/RIUP22/2529/TARACHAND CIVIL AN 36698.00</t>
  </si>
  <si>
    <t>30-09-2023 IFT/IFT23273205268/RIUP23/2356/TARACHAND CIVIL AN 82562.00</t>
  </si>
  <si>
    <t>12-09-2023 IFT/IFT23255016178/RIUP23/1916/TARACHAND CIVIL AN 684548.00</t>
  </si>
  <si>
    <t>02-11-2023 IFT/IFT23306063093/RIUP23/2658/TARACHAND CIVIL AN 182117.00</t>
  </si>
  <si>
    <t>02-11-2023 IFT/IFT23306063100/RIUP23/2947/TARACHAND CIVIL AN 97925.00</t>
  </si>
  <si>
    <t>02-11-2023 IFT/IFT23306063098/RIUP23/2945/TARACHAND CIVIL AN 162353.00</t>
  </si>
  <si>
    <t>02-11-2023 IFT/IFT23306063097/RIUP23/2944/TARACHAND CIVIL AN 138784.00</t>
  </si>
  <si>
    <t>02-11-2023 IFT/IFT23306063099/RIUP23/2946/TARACHAND CIVIL AN 138484.00</t>
  </si>
  <si>
    <t>02-11-2023 IFT/IFT23306063101/RIUP23/2977/TARACHAND CIVIL AN 572291.00</t>
  </si>
  <si>
    <t>05-01-2024 IFT/IFT24005062511/RIUP23/3373/TARACHAND CIVIL AN ₹ 65,000.00</t>
  </si>
  <si>
    <t>05-12-2023 IFT/IFT23339067437/RIUP23/3497/TARACHAND CIVIL AN ₹ 2,13,666.00</t>
  </si>
  <si>
    <t>05-01-2024 IFT/IFT24005062509/RIUP23/3952/TARACHAND CIVIL AN ₹ 1,01,014.00</t>
  </si>
  <si>
    <t>22-12-2023 IFT/IFT23356024455/RIUP23/3918/TARACHAND CIVIL AN - ₹ 1,47,000.00</t>
  </si>
  <si>
    <t>12-01-2024 IFT/IFT24012040348/RIUP23/4220/TARACHAND CIVIL AN 492243.00</t>
  </si>
  <si>
    <t>Total Hold</t>
  </si>
  <si>
    <t>Advance / Surplus</t>
  </si>
  <si>
    <t>Advance Village Wise</t>
  </si>
  <si>
    <t>03-08-2023 IFT/IFT23215024351/RIUP23/1346/TARACHAND CIVIL AN 570683.00</t>
  </si>
  <si>
    <t>03-10-2023 IFT/IFT23276086517/RIUP23/2276/TARACHAND CIVIL AN 144218.00</t>
  </si>
  <si>
    <t>22-12-2023 IFT/IFT23356043574/RIUP23/3932/TARACHAND CIVIL AN 196000.00</t>
  </si>
  <si>
    <t>05-02-2024 IFT/IFT24036025148/RIUP23/4511/TARACHAND CIVIL AN 368037.00</t>
  </si>
  <si>
    <t xml:space="preserve">Recovery of Shamli advance </t>
  </si>
  <si>
    <t>17-02-2024 IFT/IFT24048021054/RIUP23/4441/TARACHAND CIVIL AN ₹ 44,212.00</t>
  </si>
  <si>
    <t>15-03-2024 IFT/IFT24075032711/RIUP23/4968A/TARACHAND CIVIL AN 350000.00</t>
  </si>
  <si>
    <t>Shamli Advance issue No- 55120</t>
  </si>
  <si>
    <t>GST Remaining</t>
  </si>
  <si>
    <t>30-03-2024 IFT/IFT24090189905/RIUP23/5339/TARACHAND CIVIL AN 121375.00</t>
  </si>
  <si>
    <t>31-03-2024 IFT/IFT24091034191/RIUP23/5347/TARACHAND CIVIL AN 393609.00</t>
  </si>
  <si>
    <t>25-04-2024 IFT/IFT24116013825/RIUP24/0230/TARACHAND CIVIL AN 235639.00</t>
  </si>
  <si>
    <t>26-04-2024 IFT/IFT24117006564/RIUP24/0229/TARACHAND CIVIL AN 68656.00</t>
  </si>
  <si>
    <t>26-04-2024 IFT/IFT24117006563/RIUP24/0228/TARACHAND CIVIL AN 139078.00</t>
  </si>
  <si>
    <t>DPR Excess Hold</t>
  </si>
  <si>
    <t>01-06-2024 IFT/IFT24153102238/RIUP24/0454/TARACHAN D CIVIL AN 100196.00</t>
  </si>
  <si>
    <t>31-03-2024 IFT/IFT24091034192/RIUP23/5348/TARACHAND CIVIL AN 98000.00</t>
  </si>
  <si>
    <t>05-07-2024 IFT/IFT24187068919/RIUP24/0227/TARACHAND CIVIL AN 53301.00</t>
  </si>
  <si>
    <t>31-07-2024 IFT/IFT24213269298/RIUP24/1126/TARACHAND CIVIL AN 139176.00</t>
  </si>
  <si>
    <t>31-07-2024 IFT/IFT24213269299/RIUP24/1084/TARACHAND CIVIL AN 84315.00</t>
  </si>
  <si>
    <t>19-08-2024 IFT/IFT24232011542/RIUP24/1127/TARACHAND CIVIL AN 30636.00</t>
  </si>
  <si>
    <t>30-08-2024 IFT/IFT24243108950/RIUP24/1593/TARACHAND CIVIL AN ₹ 5,88,000.00</t>
  </si>
  <si>
    <t>04-09-2024 IFT/IFT24248033725/RIUP24/1637/TARACHAND CIVIL AN 196000.00</t>
  </si>
  <si>
    <t>04-09-2024 IFT/IFT24248033726/RIUP24/1638/TARACHAND CIVIL AN 98000.00</t>
  </si>
  <si>
    <t>10-09-2024 IFT/IFT24254006260/RIUP24/1721/TARACHAND CIVIL AN 245000.00</t>
  </si>
  <si>
    <t>10-09-2024 IFT/IFT24254006261/RIUP24/1722/TARACHAND CIVIL AN 147000.00</t>
  </si>
  <si>
    <t>10-09-2024 IFT/IFT24254006262/RIUP24/1723/TARACHAND CIVIL AN 98000.00</t>
  </si>
  <si>
    <t>18-09-2024 IFT/IFT24262033963/RIUP24/1842/TARACHAND CIVIL AN 98000.00</t>
  </si>
  <si>
    <t>18-09-2024 IFT/IFT24262033965/RIUP24/1841/TARACHAND CIVIL AN 196000.00</t>
  </si>
  <si>
    <t>18-09-2024 IFT/IFT24262033964/RIUP24/1840/TARACHAND CIVIL AN 98000.00</t>
  </si>
  <si>
    <t>17-09-2024 IFT/IFT24261033986/RIUP24/1818/TARACHAND CIVIL AN 98000.00</t>
  </si>
  <si>
    <t>TARACHAND CIVIL and ENGINEERING SERVICES</t>
  </si>
  <si>
    <t>27-09-2024 IFT/IFT24271042213/RIUP24/1962/TARACHAND CIVIL AN 294000.00</t>
  </si>
  <si>
    <t>27-09-2024 IFT/IFT24271021573/RIUP24/1950/TARACHAND CIVIL AN 196000.00</t>
  </si>
  <si>
    <t>27-09-2024 IFT/IFT24271021572/RIUP24/1949/TARACHAND CIVIL AN 196000.00</t>
  </si>
  <si>
    <t>27-09-2024 IFT/IFT24271021571/RIUP24/1948/TARACHAND CIVIL AN 196000.00</t>
  </si>
  <si>
    <t>17-10-2024 IFT/IFT24291039439/RIUP24/2229/TARACHAND CIVIL AN 196000.00</t>
  </si>
  <si>
    <t>17-10-2024 IFT/IFT24291039438/RIUP24/2228/TARACHAND CIVIL AN 98000.00</t>
  </si>
  <si>
    <t>18-10-2024 IFT/IFT24271085693/RIUP24/2227/TARACHAND CIVIL AN 196000.00</t>
  </si>
  <si>
    <t>30-10-2024 IFT/IFT24304385500/RIUP24/2386/TARACHAND CIVIL AN 196000.00</t>
  </si>
  <si>
    <t>30-10-2024 IFT/IFT24304385499/RIUP24/2385/TARACHAND CIVIL AN 98000.00</t>
  </si>
  <si>
    <t>05-12-2024 IFT/IFT24340061718/RIUP24/2649/TARACHAND CIVIL AN 343000.00</t>
  </si>
  <si>
    <t>16-07-2024 IFT/IFT24198061773/RIUP24/1011/TARACHAND CIVIL AN 4558.00</t>
  </si>
  <si>
    <t>16-07-2024 IFT/IFT24198061772/RIUP24/0954/TARACHAND CIVIL AN 24814.00</t>
  </si>
  <si>
    <t>02-01-2025 IFT/IFT25002052061/RIUP24/2835/TARACHAND CIVIL AN - ₹ 1,96,000.00</t>
  </si>
  <si>
    <t>10-01-2025 IFT/IFT25010067491/RIUP24/2897/TARACHAND CIVIL AN 250000.00</t>
  </si>
  <si>
    <t>22-01-2025 IFT/IFT25022031654/RIUP24/3000/TARACHAND CIVIL AN 294000.00</t>
  </si>
  <si>
    <t>14-02-2025 IFT/IFT25045004494/RIUP24/3017/TARACHAND CIVIL AN 350000.00</t>
  </si>
  <si>
    <t>12-03-2025 IFT/IFT25071098503/RIUP24/3395/TARACHAND CIVIL AN 300000.00</t>
  </si>
  <si>
    <t>31-03-2025 IFT/IFT25090121693/RIUP24/3526/TARACHAND CIVIL AN 300000.00</t>
  </si>
  <si>
    <t>17-04-2025 IFT/IFT25107037987/RIUP25/0120/TARACHAND CIVIL AN 250000.00</t>
  </si>
  <si>
    <t>17-04-2025 IFT/IFT25107037986/RIUP25/0119/TARACHAND CIVIL AN 81664.00</t>
  </si>
  <si>
    <t>4 &amp; 5</t>
  </si>
  <si>
    <t>16-04-2025 IFT/IFT25106004574/RIUP25/0086/TARACHAND CIVIL AN 100000.00</t>
  </si>
  <si>
    <t>25-04-2025 IFT/IFT25115042166/RIUP25/0152/TARACHAND CIVIL AN 50000.00</t>
  </si>
  <si>
    <t>25-04-2025 IFT/IFT25115042165/RIUP25/0151/TARACHAND CIVIL AN 147000.00</t>
  </si>
  <si>
    <t>25-04-2025 IFT/IFT25115042164/RIUP25/0150/TARACHAND CIVIL AN 100000.00</t>
  </si>
  <si>
    <t>30-04-2025 IFT/IFT25120236347/RIUP25/0179/TARACHAND CIVIL AN 245000.00</t>
  </si>
  <si>
    <t>16-05-2025 IFT/IFT25136039819/RIUP25/0260/TARACHAND CIVIL AN 100000.00</t>
  </si>
  <si>
    <t>16-05-2025 IFT/IFT25136039817/RIUP25/0259/TARACHAND CIVIL AN 200000.00</t>
  </si>
  <si>
    <t>Subcontractor:</t>
  </si>
  <si>
    <t>State:</t>
  </si>
  <si>
    <t>District:</t>
  </si>
  <si>
    <t>Block:</t>
  </si>
  <si>
    <t>Uttar Pradesh</t>
  </si>
  <si>
    <t>Muzaffarnagar</t>
  </si>
  <si>
    <t xml:space="preserve">SILAJUDDI  VILLAGE BALANCE WORK OF ROAD REINSTATEMENT </t>
  </si>
  <si>
    <t>TIGRI VILLAGE BALANCE WORK OF ROAD REINSTATEMENT AT- TIGRI VILLAGE</t>
  </si>
  <si>
    <t>KHABBARPUR VILLAGE  PIPE LINE  WORK AT KHABBARPUR VILLAGE, BLOCK- SHAHPUR</t>
  </si>
  <si>
    <t xml:space="preserve">Jaitpur village  - Bal pipeline work </t>
  </si>
  <si>
    <t xml:space="preserve">SOHJANI TAGAN VILLAGE , BLOCK- SHAHPUR Pipe laying work </t>
  </si>
  <si>
    <t xml:space="preserve">Nagla Pithora - Baghra  village  - Pipeline RR work </t>
  </si>
  <si>
    <t xml:space="preserve">Megha Khedi - sadar village  - Pipeline RR work </t>
  </si>
  <si>
    <t xml:space="preserve">Sojni Jatan - Baghra village  - Pipeline RR work </t>
  </si>
  <si>
    <t>Jatmujheda - Sadar village - Pipeline RR work</t>
  </si>
  <si>
    <t>LALUKHEDI VILLAGE BALANCE WORK OF ROAD REINSTATEMENT AT LALUKHEDI VILLAGE  BLOCK BAGHRA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</si>
  <si>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</si>
  <si>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</si>
  <si>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</si>
  <si>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</si>
  <si>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</si>
  <si>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</si>
  <si>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</si>
  <si>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</si>
  <si>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</si>
  <si>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</si>
  <si>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</si>
  <si>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</si>
  <si>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</si>
  <si>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</si>
  <si>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</si>
  <si>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23-02-2023 IFT/IFT23054038429/RIUP22/2291/TARACHAND CIVIL AN 196000.00</t>
  </si>
  <si>
    <t>Common Village -CC TV CAMERA PURCHASE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</si>
</sst>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sz val="9"/>
      <name val="Comic Sans MS"/>
      <family val="4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9"/>
      <color rgb="FF333333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4">
    <xf numFmtId="0" fontId="0" fillId="0" borderId="0" xfId="0"/>
    <xf numFmtId="43" fontId="3" fillId="2" borderId="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15" fontId="3" fillId="2" borderId="4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14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43" fontId="3" fillId="2" borderId="16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15" fontId="3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43" fontId="0" fillId="2" borderId="2" xfId="0" applyNumberFormat="1" applyFill="1" applyBorder="1" applyAlignment="1">
      <alignment vertical="center"/>
    </xf>
    <xf numFmtId="14" fontId="3" fillId="2" borderId="1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3" borderId="10" xfId="0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14" fontId="3" fillId="3" borderId="11" xfId="1" applyNumberFormat="1" applyFont="1" applyFill="1" applyBorder="1" applyAlignment="1">
      <alignment vertical="center"/>
    </xf>
    <xf numFmtId="9" fontId="3" fillId="3" borderId="11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0" fontId="5" fillId="4" borderId="20" xfId="0" applyFont="1" applyFill="1" applyBorder="1" applyAlignment="1">
      <alignment horizontal="center" vertical="center" wrapText="1"/>
    </xf>
    <xf numFmtId="43" fontId="8" fillId="5" borderId="1" xfId="1" applyNumberFormat="1" applyFont="1" applyFill="1" applyBorder="1" applyAlignment="1">
      <alignment vertical="center"/>
    </xf>
    <xf numFmtId="43" fontId="8" fillId="5" borderId="4" xfId="1" applyNumberFormat="1" applyFont="1" applyFill="1" applyBorder="1" applyAlignment="1">
      <alignment vertical="center"/>
    </xf>
    <xf numFmtId="43" fontId="8" fillId="5" borderId="6" xfId="1" applyNumberFormat="1" applyFont="1" applyFill="1" applyBorder="1" applyAlignment="1">
      <alignment vertical="center"/>
    </xf>
    <xf numFmtId="43" fontId="8" fillId="5" borderId="2" xfId="1" applyNumberFormat="1" applyFont="1" applyFill="1" applyBorder="1" applyAlignment="1">
      <alignment vertical="center"/>
    </xf>
    <xf numFmtId="43" fontId="9" fillId="2" borderId="2" xfId="0" applyNumberFormat="1" applyFont="1" applyFill="1" applyBorder="1" applyAlignment="1">
      <alignment vertical="center"/>
    </xf>
    <xf numFmtId="43" fontId="8" fillId="2" borderId="17" xfId="1" applyNumberFormat="1" applyFont="1" applyFill="1" applyBorder="1" applyAlignment="1">
      <alignment vertical="center"/>
    </xf>
    <xf numFmtId="43" fontId="8" fillId="2" borderId="18" xfId="1" applyNumberFormat="1" applyFont="1" applyFill="1" applyBorder="1" applyAlignment="1">
      <alignment vertical="center"/>
    </xf>
    <xf numFmtId="43" fontId="3" fillId="6" borderId="17" xfId="1" applyNumberFormat="1" applyFont="1" applyFill="1" applyBorder="1" applyAlignment="1">
      <alignment vertical="center"/>
    </xf>
    <xf numFmtId="43" fontId="3" fillId="0" borderId="17" xfId="1" applyNumberFormat="1" applyFont="1" applyFill="1" applyBorder="1" applyAlignment="1">
      <alignment vertical="center"/>
    </xf>
    <xf numFmtId="43" fontId="0" fillId="0" borderId="2" xfId="0" applyNumberForma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14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43" fontId="0" fillId="0" borderId="0" xfId="0" applyNumberFormat="1" applyAlignment="1">
      <alignment vertical="center"/>
    </xf>
    <xf numFmtId="43" fontId="7" fillId="0" borderId="28" xfId="1" applyNumberFormat="1" applyFont="1" applyFill="1" applyBorder="1" applyAlignment="1">
      <alignment horizontal="center" vertical="center"/>
    </xf>
    <xf numFmtId="43" fontId="7" fillId="0" borderId="29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2" borderId="32" xfId="0" applyFill="1" applyBorder="1" applyAlignment="1">
      <alignment vertical="center"/>
    </xf>
    <xf numFmtId="43" fontId="3" fillId="6" borderId="33" xfId="1" applyNumberFormat="1" applyFont="1" applyFill="1" applyBorder="1" applyAlignment="1">
      <alignment vertical="center"/>
    </xf>
    <xf numFmtId="43" fontId="0" fillId="0" borderId="34" xfId="0" applyNumberFormat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15" fontId="3" fillId="2" borderId="13" xfId="0" applyNumberFormat="1" applyFont="1" applyFill="1" applyBorder="1" applyAlignment="1">
      <alignment horizontal="center" vertical="center"/>
    </xf>
    <xf numFmtId="43" fontId="3" fillId="6" borderId="8" xfId="1" applyNumberFormat="1" applyFont="1" applyFill="1" applyBorder="1" applyAlignment="1">
      <alignment vertical="center"/>
    </xf>
    <xf numFmtId="43" fontId="8" fillId="0" borderId="4" xfId="1" applyNumberFormat="1" applyFont="1" applyFill="1" applyBorder="1" applyAlignment="1">
      <alignment vertical="center"/>
    </xf>
    <xf numFmtId="43" fontId="10" fillId="0" borderId="14" xfId="1" applyNumberFormat="1" applyFont="1" applyFill="1" applyBorder="1" applyAlignment="1">
      <alignment vertical="center"/>
    </xf>
    <xf numFmtId="0" fontId="6" fillId="0" borderId="0" xfId="0" applyFont="1"/>
    <xf numFmtId="0" fontId="0" fillId="0" borderId="0" xfId="0" applyFont="1"/>
    <xf numFmtId="0" fontId="9" fillId="2" borderId="32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/>
    </xf>
    <xf numFmtId="15" fontId="8" fillId="2" borderId="13" xfId="0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43" fontId="8" fillId="2" borderId="6" xfId="1" applyNumberFormat="1" applyFont="1" applyFill="1" applyBorder="1" applyAlignment="1">
      <alignment vertical="center"/>
    </xf>
    <xf numFmtId="0" fontId="11" fillId="2" borderId="24" xfId="0" applyFont="1" applyFill="1" applyBorder="1" applyAlignment="1">
      <alignment horizontal="center" vertical="center" wrapText="1"/>
    </xf>
    <xf numFmtId="43" fontId="8" fillId="6" borderId="4" xfId="1" applyNumberFormat="1" applyFont="1" applyFill="1" applyBorder="1" applyAlignment="1">
      <alignment vertical="center"/>
    </xf>
    <xf numFmtId="43" fontId="9" fillId="0" borderId="2" xfId="0" applyNumberFormat="1" applyFont="1" applyBorder="1" applyAlignment="1">
      <alignment vertical="center"/>
    </xf>
    <xf numFmtId="43" fontId="8" fillId="0" borderId="14" xfId="1" applyNumberFormat="1" applyFont="1" applyFill="1" applyBorder="1" applyAlignment="1">
      <alignment vertical="center"/>
    </xf>
    <xf numFmtId="43" fontId="8" fillId="2" borderId="19" xfId="1" applyNumberFormat="1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12" fillId="2" borderId="20" xfId="1" applyNumberFormat="1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0" fontId="13" fillId="0" borderId="0" xfId="0" applyFont="1"/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43" fontId="7" fillId="0" borderId="30" xfId="1" applyNumberFormat="1" applyFont="1" applyFill="1" applyBorder="1" applyAlignment="1">
      <alignment horizontal="center" vertical="center"/>
    </xf>
    <xf numFmtId="43" fontId="7" fillId="0" borderId="31" xfId="1" applyNumberFormat="1" applyFont="1" applyFill="1" applyBorder="1" applyAlignment="1">
      <alignment horizontal="center" vertical="center"/>
    </xf>
    <xf numFmtId="14" fontId="7" fillId="0" borderId="25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43" fontId="7" fillId="0" borderId="28" xfId="1" applyNumberFormat="1" applyFont="1" applyFill="1" applyBorder="1" applyAlignment="1">
      <alignment horizontal="center" vertical="center"/>
    </xf>
    <xf numFmtId="43" fontId="7" fillId="0" borderId="29" xfId="1" applyNumberFormat="1" applyFont="1" applyFill="1" applyBorder="1" applyAlignment="1">
      <alignment horizontal="center" vertical="center"/>
    </xf>
    <xf numFmtId="1" fontId="0" fillId="0" borderId="0" xfId="0" applyNumberFormat="1" applyAlignment="1">
      <alignment vertical="center"/>
    </xf>
    <xf numFmtId="1" fontId="2" fillId="0" borderId="0" xfId="1" applyNumberFormat="1" applyFont="1" applyFill="1" applyBorder="1" applyAlignment="1">
      <alignment vertical="center"/>
    </xf>
    <xf numFmtId="1" fontId="3" fillId="0" borderId="0" xfId="0" applyNumberFormat="1" applyFont="1" applyAlignment="1">
      <alignment vertical="center"/>
    </xf>
    <xf numFmtId="1" fontId="6" fillId="2" borderId="20" xfId="0" applyNumberFormat="1" applyFont="1" applyFill="1" applyBorder="1" applyAlignment="1">
      <alignment horizontal="center" vertical="center"/>
    </xf>
    <xf numFmtId="1" fontId="3" fillId="2" borderId="5" xfId="1" applyNumberFormat="1" applyFont="1" applyFill="1" applyBorder="1" applyAlignment="1">
      <alignment vertical="center"/>
    </xf>
    <xf numFmtId="1" fontId="3" fillId="3" borderId="11" xfId="1" applyNumberFormat="1" applyFont="1" applyFill="1" applyBorder="1" applyAlignment="1">
      <alignment vertical="center"/>
    </xf>
    <xf numFmtId="1" fontId="3" fillId="2" borderId="1" xfId="0" quotePrefix="1" applyNumberFormat="1" applyFont="1" applyFill="1" applyBorder="1" applyAlignment="1">
      <alignment horizontal="center" vertical="center"/>
    </xf>
    <xf numFmtId="1" fontId="3" fillId="2" borderId="4" xfId="0" quotePrefix="1" applyNumberFormat="1" applyFont="1" applyFill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 vertical="center"/>
    </xf>
    <xf numFmtId="1" fontId="3" fillId="2" borderId="4" xfId="1" applyNumberFormat="1" applyFont="1" applyFill="1" applyBorder="1" applyAlignment="1">
      <alignment vertical="center"/>
    </xf>
    <xf numFmtId="1" fontId="3" fillId="2" borderId="1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1" fontId="8" fillId="2" borderId="13" xfId="0" applyNumberFormat="1" applyFont="1" applyFill="1" applyBorder="1" applyAlignment="1">
      <alignment horizontal="center" vertical="center"/>
    </xf>
    <xf numFmtId="1" fontId="3" fillId="2" borderId="1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XMISERVER\E%20Folder\Laxmi\PMC\UP\SWSM-Shamli\Billing\Subcontractor\Shamli%20payment%20reconcillation\TARACHAND%20CIVIL%20AND%20ENGINEERING%20SERVICES\Tarachan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24">
          <cell r="R24">
            <v>132094.7799999998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44"/>
  <sheetViews>
    <sheetView tabSelected="1" zoomScaleNormal="100" workbookViewId="0">
      <pane ySplit="5" topLeftCell="A81" activePane="bottomLeft" state="frozen"/>
      <selection pane="bottomLeft" activeCell="D1" sqref="D1:D1048576"/>
    </sheetView>
  </sheetViews>
  <sheetFormatPr defaultColWidth="9" defaultRowHeight="24.9" customHeight="1" x14ac:dyDescent="0.3"/>
  <cols>
    <col min="1" max="1" width="9" style="63"/>
    <col min="2" max="2" width="30" style="63" customWidth="1"/>
    <col min="3" max="3" width="13.44140625" style="65" bestFit="1" customWidth="1"/>
    <col min="4" max="4" width="11.5546875" style="119" bestFit="1" customWidth="1"/>
    <col min="5" max="5" width="13.33203125" style="63" bestFit="1" customWidth="1"/>
    <col min="6" max="7" width="13.33203125" style="63" customWidth="1"/>
    <col min="8" max="8" width="14.6640625" style="66" customWidth="1"/>
    <col min="9" max="9" width="12.88671875" style="66" bestFit="1" customWidth="1"/>
    <col min="10" max="10" width="14.109375" style="63" customWidth="1"/>
    <col min="11" max="11" width="17.6640625" style="63" bestFit="1" customWidth="1"/>
    <col min="12" max="12" width="15.109375" style="63" customWidth="1"/>
    <col min="13" max="13" width="15" style="63" customWidth="1"/>
    <col min="14" max="14" width="17" style="63" customWidth="1"/>
    <col min="15" max="15" width="14.88671875" style="63" customWidth="1"/>
    <col min="16" max="16" width="18.33203125" style="63" customWidth="1"/>
    <col min="17" max="17" width="10.88671875" style="63" bestFit="1" customWidth="1"/>
    <col min="18" max="18" width="18.88671875" style="63" customWidth="1"/>
    <col min="19" max="19" width="85.33203125" style="63" bestFit="1" customWidth="1"/>
    <col min="20" max="20" width="18.88671875" style="63" customWidth="1"/>
    <col min="21" max="21" width="9" style="63"/>
    <col min="22" max="22" width="12.5546875" style="63" bestFit="1" customWidth="1"/>
    <col min="23" max="16384" width="9" style="63"/>
  </cols>
  <sheetData>
    <row r="1" spans="1:22" ht="24.9" customHeight="1" x14ac:dyDescent="0.3">
      <c r="A1" s="87" t="s">
        <v>111</v>
      </c>
      <c r="B1" s="64" t="s">
        <v>82</v>
      </c>
    </row>
    <row r="2" spans="1:22" ht="24.9" customHeight="1" x14ac:dyDescent="0.3">
      <c r="A2" s="87" t="s">
        <v>112</v>
      </c>
      <c r="B2" s="88" t="s">
        <v>115</v>
      </c>
      <c r="C2" s="67"/>
      <c r="D2" s="120"/>
      <c r="G2" s="68"/>
      <c r="I2" s="68"/>
      <c r="J2" s="69"/>
      <c r="K2" s="69"/>
      <c r="L2" s="69"/>
      <c r="M2" s="69"/>
      <c r="N2" s="69"/>
      <c r="O2" s="69"/>
      <c r="P2" s="69"/>
      <c r="Q2" s="69"/>
    </row>
    <row r="3" spans="1:22" ht="24.9" customHeight="1" x14ac:dyDescent="0.3">
      <c r="A3" s="87" t="s">
        <v>113</v>
      </c>
      <c r="B3" s="88" t="s">
        <v>116</v>
      </c>
      <c r="C3" s="67"/>
      <c r="D3" s="120"/>
      <c r="G3" s="68"/>
      <c r="I3" s="68"/>
      <c r="J3" s="69"/>
      <c r="K3" s="69"/>
      <c r="L3" s="69"/>
      <c r="M3" s="69"/>
      <c r="N3" s="69"/>
      <c r="O3" s="69"/>
      <c r="P3" s="69"/>
      <c r="Q3" s="69"/>
    </row>
    <row r="4" spans="1:22" ht="24.9" customHeight="1" thickBot="1" x14ac:dyDescent="0.35">
      <c r="A4" s="87" t="s">
        <v>114</v>
      </c>
      <c r="B4" s="88" t="s">
        <v>116</v>
      </c>
      <c r="C4" s="70"/>
      <c r="D4" s="121"/>
      <c r="E4" s="69"/>
      <c r="F4" s="69"/>
      <c r="G4" s="69"/>
      <c r="H4" s="71"/>
      <c r="I4" s="71"/>
      <c r="J4" s="69"/>
      <c r="K4" s="69"/>
      <c r="L4" s="69"/>
      <c r="M4" s="69"/>
      <c r="Q4" s="65"/>
      <c r="R4" s="72"/>
      <c r="S4" s="72"/>
      <c r="T4" s="72"/>
    </row>
    <row r="5" spans="1:22" ht="24.9" customHeight="1" x14ac:dyDescent="0.3">
      <c r="A5" s="100" t="s">
        <v>127</v>
      </c>
      <c r="B5" s="101" t="s">
        <v>128</v>
      </c>
      <c r="C5" s="102" t="s">
        <v>129</v>
      </c>
      <c r="D5" s="122" t="s">
        <v>130</v>
      </c>
      <c r="E5" s="101" t="s">
        <v>131</v>
      </c>
      <c r="F5" s="101" t="s">
        <v>132</v>
      </c>
      <c r="G5" s="103" t="s">
        <v>133</v>
      </c>
      <c r="H5" s="104" t="s">
        <v>134</v>
      </c>
      <c r="I5" s="105" t="s">
        <v>0</v>
      </c>
      <c r="J5" s="101" t="s">
        <v>135</v>
      </c>
      <c r="K5" s="101" t="s">
        <v>136</v>
      </c>
      <c r="L5" s="101" t="s">
        <v>137</v>
      </c>
      <c r="M5" s="101" t="s">
        <v>138</v>
      </c>
      <c r="N5" s="13" t="s">
        <v>2</v>
      </c>
      <c r="O5" s="101" t="s">
        <v>139</v>
      </c>
      <c r="P5" s="101" t="s">
        <v>140</v>
      </c>
      <c r="Q5" s="33"/>
      <c r="R5" s="101" t="s">
        <v>141</v>
      </c>
      <c r="S5" s="101" t="s">
        <v>1</v>
      </c>
      <c r="T5" s="26" t="s">
        <v>50</v>
      </c>
    </row>
    <row r="6" spans="1:22" ht="24.9" customHeight="1" thickBot="1" x14ac:dyDescent="0.35">
      <c r="A6" s="19"/>
      <c r="B6" s="5"/>
      <c r="C6" s="15"/>
      <c r="D6" s="123"/>
      <c r="E6" s="5"/>
      <c r="F6" s="5"/>
      <c r="G6" s="5"/>
      <c r="H6" s="20">
        <v>0.18</v>
      </c>
      <c r="I6" s="5"/>
      <c r="J6" s="20">
        <v>0.02</v>
      </c>
      <c r="K6" s="20">
        <v>0.05</v>
      </c>
      <c r="L6" s="20">
        <v>0.1</v>
      </c>
      <c r="M6" s="20">
        <v>0.1</v>
      </c>
      <c r="N6" s="20"/>
      <c r="O6" s="20">
        <v>0.18</v>
      </c>
      <c r="P6" s="7"/>
      <c r="Q6" s="34"/>
      <c r="R6" s="27"/>
      <c r="S6" s="7"/>
      <c r="T6" s="27"/>
    </row>
    <row r="7" spans="1:22" ht="24.9" customHeight="1" x14ac:dyDescent="0.3">
      <c r="A7" s="46"/>
      <c r="B7" s="47"/>
      <c r="C7" s="48"/>
      <c r="D7" s="124"/>
      <c r="E7" s="47"/>
      <c r="F7" s="47"/>
      <c r="G7" s="47"/>
      <c r="H7" s="49"/>
      <c r="I7" s="47"/>
      <c r="J7" s="49"/>
      <c r="K7" s="49"/>
      <c r="L7" s="49"/>
      <c r="M7" s="49"/>
      <c r="N7" s="49"/>
      <c r="O7" s="49"/>
      <c r="P7" s="50"/>
      <c r="Q7" s="52">
        <f>A8</f>
        <v>53190</v>
      </c>
      <c r="R7" s="51"/>
      <c r="S7" s="50"/>
      <c r="T7" s="51"/>
    </row>
    <row r="8" spans="1:22" ht="24.9" customHeight="1" x14ac:dyDescent="0.3">
      <c r="A8" s="16">
        <v>53190</v>
      </c>
      <c r="B8" s="17" t="s">
        <v>4</v>
      </c>
      <c r="C8" s="18">
        <v>44898</v>
      </c>
      <c r="D8" s="125">
        <v>1</v>
      </c>
      <c r="E8" s="1">
        <v>212868</v>
      </c>
      <c r="F8" s="1">
        <f>100*89.91</f>
        <v>8991</v>
      </c>
      <c r="G8" s="1">
        <f t="shared" ref="G8:G9" si="0">E8-F8</f>
        <v>203877</v>
      </c>
      <c r="H8" s="1">
        <f>ROUND(G8*H6,0)</f>
        <v>36698</v>
      </c>
      <c r="I8" s="1">
        <f>ROUND(G8+H8,)</f>
        <v>240575</v>
      </c>
      <c r="J8" s="1">
        <f>G8*$J$6</f>
        <v>4077.54</v>
      </c>
      <c r="K8" s="1">
        <f>G8*$K$6</f>
        <v>10193.85</v>
      </c>
      <c r="L8" s="1">
        <f>G8*$L$6</f>
        <v>20387.7</v>
      </c>
      <c r="M8" s="1">
        <f>G8*$M$6</f>
        <v>20387.7</v>
      </c>
      <c r="N8" s="1">
        <v>4833</v>
      </c>
      <c r="O8" s="53">
        <f>H8</f>
        <v>36698</v>
      </c>
      <c r="P8" s="2">
        <f>ROUND(I8-SUM(J8:O8),0)</f>
        <v>143997</v>
      </c>
      <c r="Q8" s="35"/>
      <c r="R8" s="29">
        <v>98000</v>
      </c>
      <c r="S8" s="41" t="s">
        <v>5</v>
      </c>
      <c r="T8" s="29">
        <f>SUM(P8:P17,0)-SUM(R8:R17,0)</f>
        <v>-342996</v>
      </c>
    </row>
    <row r="9" spans="1:22" ht="24.9" customHeight="1" x14ac:dyDescent="0.3">
      <c r="A9" s="16">
        <v>53190</v>
      </c>
      <c r="B9" s="10" t="s">
        <v>4</v>
      </c>
      <c r="C9" s="11">
        <v>45029</v>
      </c>
      <c r="D9" s="126">
        <v>2</v>
      </c>
      <c r="E9" s="3">
        <v>567317</v>
      </c>
      <c r="F9" s="3">
        <v>58442</v>
      </c>
      <c r="G9" s="3">
        <f t="shared" si="0"/>
        <v>508875</v>
      </c>
      <c r="H9" s="3">
        <f>ROUND(G9*H6,0)</f>
        <v>91598</v>
      </c>
      <c r="I9" s="3">
        <f>ROUND(G9+H9,)</f>
        <v>600473</v>
      </c>
      <c r="J9" s="3">
        <f>G9*$J$6</f>
        <v>10177.5</v>
      </c>
      <c r="K9" s="3">
        <f>G9*$K$6</f>
        <v>25443.75</v>
      </c>
      <c r="L9" s="3">
        <f>G9*$L$6</f>
        <v>50887.5</v>
      </c>
      <c r="M9" s="3">
        <f>G9*$M$6</f>
        <v>50887.5</v>
      </c>
      <c r="N9" s="3">
        <v>101987</v>
      </c>
      <c r="O9" s="54">
        <f>H9</f>
        <v>91598</v>
      </c>
      <c r="P9" s="4">
        <f>ROUND(I9-SUM(J9:O9),0)</f>
        <v>269492</v>
      </c>
      <c r="Q9" s="36"/>
      <c r="R9" s="28">
        <v>45996</v>
      </c>
      <c r="S9" s="42" t="s">
        <v>6</v>
      </c>
      <c r="T9" s="28"/>
    </row>
    <row r="10" spans="1:22" ht="24.9" customHeight="1" x14ac:dyDescent="0.3">
      <c r="A10" s="16">
        <v>53190</v>
      </c>
      <c r="B10" s="10" t="s">
        <v>9</v>
      </c>
      <c r="C10" s="11">
        <v>45083</v>
      </c>
      <c r="D10" s="127">
        <v>1</v>
      </c>
      <c r="E10" s="3">
        <v>36698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55">
        <v>36698</v>
      </c>
      <c r="Q10" s="36"/>
      <c r="R10" s="28">
        <v>147000</v>
      </c>
      <c r="S10" s="42" t="s">
        <v>7</v>
      </c>
      <c r="T10" s="28"/>
    </row>
    <row r="11" spans="1:22" ht="24.9" customHeight="1" x14ac:dyDescent="0.3">
      <c r="A11" s="16">
        <v>53190</v>
      </c>
      <c r="B11" s="10" t="s">
        <v>9</v>
      </c>
      <c r="C11" s="9">
        <v>45071</v>
      </c>
      <c r="D11" s="127">
        <v>2</v>
      </c>
      <c r="E11" s="3">
        <v>91598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55">
        <f>E11</f>
        <v>91598</v>
      </c>
      <c r="Q11" s="36"/>
      <c r="R11" s="28">
        <v>196000</v>
      </c>
      <c r="S11" s="42" t="s">
        <v>8</v>
      </c>
      <c r="T11" s="28"/>
    </row>
    <row r="12" spans="1:22" ht="24.9" customHeight="1" x14ac:dyDescent="0.3">
      <c r="A12" s="16">
        <v>53190</v>
      </c>
      <c r="B12" s="10" t="s">
        <v>4</v>
      </c>
      <c r="C12" s="12">
        <v>45199</v>
      </c>
      <c r="D12" s="126">
        <v>10</v>
      </c>
      <c r="E12" s="3">
        <v>621027</v>
      </c>
      <c r="F12" s="3">
        <v>77000</v>
      </c>
      <c r="G12" s="3">
        <v>544027</v>
      </c>
      <c r="H12" s="3">
        <v>97925</v>
      </c>
      <c r="I12" s="3">
        <v>641952</v>
      </c>
      <c r="J12" s="3">
        <v>10880.54</v>
      </c>
      <c r="K12" s="3">
        <v>27201.350000000002</v>
      </c>
      <c r="L12" s="3">
        <v>54402.700000000004</v>
      </c>
      <c r="M12" s="3">
        <v>54402.700000000004</v>
      </c>
      <c r="N12" s="3">
        <v>141512</v>
      </c>
      <c r="O12" s="54">
        <v>97925</v>
      </c>
      <c r="P12" s="4">
        <v>255628</v>
      </c>
      <c r="Q12" s="36"/>
      <c r="R12" s="28">
        <v>91598</v>
      </c>
      <c r="S12" s="42" t="s">
        <v>10</v>
      </c>
      <c r="T12" s="28"/>
    </row>
    <row r="13" spans="1:22" ht="24.9" customHeight="1" x14ac:dyDescent="0.3">
      <c r="A13" s="16">
        <v>53190</v>
      </c>
      <c r="B13" s="10" t="s">
        <v>9</v>
      </c>
      <c r="C13" s="12">
        <v>45199</v>
      </c>
      <c r="D13" s="127">
        <v>10</v>
      </c>
      <c r="E13" s="3">
        <v>97925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55">
        <v>97925</v>
      </c>
      <c r="Q13" s="36"/>
      <c r="R13" s="28">
        <v>36698</v>
      </c>
      <c r="S13" s="42" t="s">
        <v>34</v>
      </c>
      <c r="T13" s="28"/>
    </row>
    <row r="14" spans="1:22" ht="24.9" customHeight="1" x14ac:dyDescent="0.3">
      <c r="A14" s="16">
        <v>53190</v>
      </c>
      <c r="B14" s="3"/>
      <c r="C14" s="9"/>
      <c r="D14" s="128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Q14" s="36"/>
      <c r="R14" s="28">
        <v>182117</v>
      </c>
      <c r="S14" s="42" t="s">
        <v>37</v>
      </c>
      <c r="T14" s="28"/>
    </row>
    <row r="15" spans="1:22" ht="24.9" customHeight="1" x14ac:dyDescent="0.3">
      <c r="A15" s="16">
        <v>53190</v>
      </c>
      <c r="B15" s="3"/>
      <c r="C15" s="9"/>
      <c r="D15" s="128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Q15" s="36"/>
      <c r="R15" s="28">
        <v>97925</v>
      </c>
      <c r="S15" s="42" t="s">
        <v>38</v>
      </c>
      <c r="T15" s="28"/>
    </row>
    <row r="16" spans="1:22" ht="24.9" customHeight="1" x14ac:dyDescent="0.3">
      <c r="A16" s="16">
        <v>53190</v>
      </c>
      <c r="B16" s="1"/>
      <c r="C16" s="44"/>
      <c r="D16" s="129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"/>
      <c r="Q16" s="35"/>
      <c r="R16" s="60">
        <v>245000</v>
      </c>
      <c r="S16" s="45" t="s">
        <v>75</v>
      </c>
      <c r="T16" s="29"/>
      <c r="V16" s="63">
        <v>1</v>
      </c>
    </row>
    <row r="17" spans="1:22" ht="24.9" customHeight="1" thickBot="1" x14ac:dyDescent="0.35">
      <c r="A17" s="16">
        <v>53190</v>
      </c>
      <c r="B17" s="1"/>
      <c r="C17" s="44"/>
      <c r="D17" s="129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"/>
      <c r="Q17" s="35"/>
      <c r="R17" s="60">
        <v>98000</v>
      </c>
      <c r="S17" s="45" t="s">
        <v>81</v>
      </c>
      <c r="T17" s="29"/>
    </row>
    <row r="18" spans="1:22" ht="24.9" customHeight="1" x14ac:dyDescent="0.3">
      <c r="A18" s="46"/>
      <c r="B18" s="47"/>
      <c r="C18" s="48"/>
      <c r="D18" s="124"/>
      <c r="E18" s="47"/>
      <c r="F18" s="47"/>
      <c r="G18" s="47"/>
      <c r="H18" s="49"/>
      <c r="I18" s="47"/>
      <c r="J18" s="49"/>
      <c r="K18" s="49"/>
      <c r="L18" s="49"/>
      <c r="M18" s="49"/>
      <c r="N18" s="49"/>
      <c r="O18" s="49"/>
      <c r="P18" s="50"/>
      <c r="Q18" s="52">
        <f>A19</f>
        <v>54970</v>
      </c>
      <c r="R18" s="51"/>
      <c r="S18" s="50"/>
      <c r="T18" s="51"/>
    </row>
    <row r="19" spans="1:22" ht="24.9" customHeight="1" x14ac:dyDescent="0.3">
      <c r="A19" s="14">
        <v>54970</v>
      </c>
      <c r="B19" s="10" t="s">
        <v>11</v>
      </c>
      <c r="C19" s="11">
        <v>44990</v>
      </c>
      <c r="D19" s="126">
        <v>2</v>
      </c>
      <c r="E19" s="3">
        <v>495332</v>
      </c>
      <c r="F19" s="3">
        <v>67433</v>
      </c>
      <c r="G19" s="3">
        <f t="shared" ref="G19:G24" si="1">E19-F19</f>
        <v>427899</v>
      </c>
      <c r="H19" s="3">
        <f>ROUND(G19*18%,0)</f>
        <v>77022</v>
      </c>
      <c r="I19" s="3">
        <f t="shared" ref="I19:I24" si="2">G19+H19</f>
        <v>504921</v>
      </c>
      <c r="J19" s="3">
        <f>ROUND(G19*$J$6,)</f>
        <v>8558</v>
      </c>
      <c r="K19" s="3">
        <f>ROUND(G19*$K$6,)</f>
        <v>21395</v>
      </c>
      <c r="L19" s="3">
        <f>ROUND(G19*10%,)</f>
        <v>42790</v>
      </c>
      <c r="M19" s="3">
        <f>ROUND(G19*$M$6,)</f>
        <v>42790</v>
      </c>
      <c r="N19" s="3">
        <v>23035</v>
      </c>
      <c r="O19" s="54">
        <f>H19</f>
        <v>77022</v>
      </c>
      <c r="P19" s="4">
        <f t="shared" ref="P19:P25" si="3">ROUND(I19-SUM(J19:O19),0)</f>
        <v>289331</v>
      </c>
      <c r="Q19" s="36"/>
      <c r="R19" s="28">
        <v>196000</v>
      </c>
      <c r="S19" s="42" t="s">
        <v>13</v>
      </c>
      <c r="T19" s="28">
        <f>SUM(P19:P30,0)-SUM(R19:R30,0)</f>
        <v>-147000</v>
      </c>
    </row>
    <row r="20" spans="1:22" ht="24.9" customHeight="1" x14ac:dyDescent="0.3">
      <c r="A20" s="14">
        <v>54970</v>
      </c>
      <c r="B20" s="10" t="s">
        <v>11</v>
      </c>
      <c r="C20" s="11">
        <v>45028</v>
      </c>
      <c r="D20" s="126">
        <v>1</v>
      </c>
      <c r="E20" s="3">
        <v>691703</v>
      </c>
      <c r="F20" s="3"/>
      <c r="G20" s="3">
        <f t="shared" si="1"/>
        <v>691703</v>
      </c>
      <c r="H20" s="3">
        <f>ROUND(G20*18%,0)</f>
        <v>124507</v>
      </c>
      <c r="I20" s="3">
        <f t="shared" si="2"/>
        <v>816210</v>
      </c>
      <c r="J20" s="3">
        <f>ROUND(G20*$J$6,)</f>
        <v>13834</v>
      </c>
      <c r="K20" s="3">
        <f>ROUND(G20*$K$6,)</f>
        <v>34585</v>
      </c>
      <c r="L20" s="3">
        <f>ROUND(G20*10%,)</f>
        <v>69170</v>
      </c>
      <c r="M20" s="3">
        <f>ROUND(G20*$M$6,)</f>
        <v>69170</v>
      </c>
      <c r="N20" s="3">
        <v>91474</v>
      </c>
      <c r="O20" s="54">
        <f>H20</f>
        <v>124507</v>
      </c>
      <c r="P20" s="4">
        <f t="shared" si="3"/>
        <v>413470</v>
      </c>
      <c r="Q20" s="36"/>
      <c r="R20" s="28">
        <v>196000</v>
      </c>
      <c r="S20" s="42" t="s">
        <v>14</v>
      </c>
      <c r="T20" s="28"/>
    </row>
    <row r="21" spans="1:22" ht="24.9" customHeight="1" x14ac:dyDescent="0.3">
      <c r="A21" s="14">
        <v>54970</v>
      </c>
      <c r="B21" s="10" t="s">
        <v>12</v>
      </c>
      <c r="C21" s="11">
        <v>45056</v>
      </c>
      <c r="D21" s="126">
        <v>2</v>
      </c>
      <c r="E21" s="3">
        <v>77022</v>
      </c>
      <c r="F21" s="3"/>
      <c r="G21" s="3">
        <f t="shared" si="1"/>
        <v>77022</v>
      </c>
      <c r="H21" s="3"/>
      <c r="I21" s="3">
        <f t="shared" si="2"/>
        <v>77022</v>
      </c>
      <c r="J21" s="3"/>
      <c r="K21" s="3"/>
      <c r="L21" s="3"/>
      <c r="M21" s="3"/>
      <c r="N21" s="3"/>
      <c r="O21" s="3"/>
      <c r="P21" s="55">
        <f t="shared" si="3"/>
        <v>77022</v>
      </c>
      <c r="Q21" s="36"/>
      <c r="R21" s="28">
        <v>196000</v>
      </c>
      <c r="S21" s="42" t="s">
        <v>15</v>
      </c>
      <c r="T21" s="28"/>
    </row>
    <row r="22" spans="1:22" ht="24.9" customHeight="1" x14ac:dyDescent="0.3">
      <c r="A22" s="14">
        <v>54970</v>
      </c>
      <c r="B22" s="10" t="s">
        <v>12</v>
      </c>
      <c r="C22" s="11">
        <v>45077</v>
      </c>
      <c r="D22" s="126">
        <v>1</v>
      </c>
      <c r="E22" s="3">
        <v>124506</v>
      </c>
      <c r="F22" s="3"/>
      <c r="G22" s="3">
        <f t="shared" si="1"/>
        <v>124506</v>
      </c>
      <c r="H22" s="3"/>
      <c r="I22" s="3">
        <f t="shared" si="2"/>
        <v>124506</v>
      </c>
      <c r="J22" s="3"/>
      <c r="K22" s="3"/>
      <c r="L22" s="3"/>
      <c r="M22" s="3"/>
      <c r="N22" s="3"/>
      <c r="O22" s="3"/>
      <c r="P22" s="55">
        <f t="shared" si="3"/>
        <v>124506</v>
      </c>
      <c r="Q22" s="36"/>
      <c r="R22" s="28">
        <v>147000</v>
      </c>
      <c r="S22" s="42" t="s">
        <v>16</v>
      </c>
      <c r="T22" s="28"/>
    </row>
    <row r="23" spans="1:22" ht="24.9" customHeight="1" x14ac:dyDescent="0.3">
      <c r="A23" s="14">
        <v>54970</v>
      </c>
      <c r="B23" s="10" t="s">
        <v>11</v>
      </c>
      <c r="C23" s="11">
        <v>45164</v>
      </c>
      <c r="D23" s="126">
        <v>6</v>
      </c>
      <c r="E23" s="3">
        <v>476204</v>
      </c>
      <c r="F23" s="3">
        <f>13487+(202*20)</f>
        <v>17527</v>
      </c>
      <c r="G23" s="3">
        <f t="shared" si="1"/>
        <v>458677</v>
      </c>
      <c r="H23" s="3">
        <f>ROUND(G23*18%,0)</f>
        <v>82562</v>
      </c>
      <c r="I23" s="3">
        <f t="shared" si="2"/>
        <v>541239</v>
      </c>
      <c r="J23" s="3">
        <f>ROUND(G23*2%,)</f>
        <v>9174</v>
      </c>
      <c r="K23" s="3">
        <f>ROUND(G23*$K$6,)</f>
        <v>22934</v>
      </c>
      <c r="L23" s="3">
        <f>ROUND(G23*5%,)</f>
        <v>22934</v>
      </c>
      <c r="M23" s="3">
        <f>ROUND(G23*$M$6,)</f>
        <v>45868</v>
      </c>
      <c r="N23" s="3">
        <v>12889</v>
      </c>
      <c r="O23" s="54">
        <f>H23</f>
        <v>82562</v>
      </c>
      <c r="P23" s="4">
        <f t="shared" si="3"/>
        <v>344878</v>
      </c>
      <c r="Q23" s="36"/>
      <c r="R23" s="28">
        <v>77022</v>
      </c>
      <c r="S23" s="42" t="s">
        <v>17</v>
      </c>
      <c r="T23" s="28"/>
    </row>
    <row r="24" spans="1:22" ht="24.9" customHeight="1" x14ac:dyDescent="0.3">
      <c r="A24" s="14">
        <v>54970</v>
      </c>
      <c r="B24" s="10" t="s">
        <v>12</v>
      </c>
      <c r="C24" s="11">
        <v>45187</v>
      </c>
      <c r="D24" s="126">
        <v>6</v>
      </c>
      <c r="E24" s="3">
        <v>82562</v>
      </c>
      <c r="F24" s="3"/>
      <c r="G24" s="3">
        <f t="shared" si="1"/>
        <v>82562</v>
      </c>
      <c r="H24" s="3"/>
      <c r="I24" s="3">
        <f t="shared" si="2"/>
        <v>82562</v>
      </c>
      <c r="J24" s="3"/>
      <c r="K24" s="3"/>
      <c r="L24" s="3"/>
      <c r="M24" s="3"/>
      <c r="N24" s="3"/>
      <c r="O24" s="3"/>
      <c r="P24" s="55">
        <f t="shared" si="3"/>
        <v>82562</v>
      </c>
      <c r="Q24" s="36"/>
      <c r="R24" s="28">
        <v>124506</v>
      </c>
      <c r="S24" s="42" t="s">
        <v>18</v>
      </c>
      <c r="T24" s="28"/>
    </row>
    <row r="25" spans="1:22" ht="24.9" customHeight="1" x14ac:dyDescent="0.3">
      <c r="A25" s="14">
        <v>54970</v>
      </c>
      <c r="B25" s="10" t="s">
        <v>11</v>
      </c>
      <c r="C25" s="11">
        <v>45313</v>
      </c>
      <c r="D25" s="126">
        <v>14</v>
      </c>
      <c r="E25" s="3">
        <v>496869</v>
      </c>
      <c r="F25" s="3">
        <v>200750</v>
      </c>
      <c r="G25" s="3">
        <f t="shared" ref="G25" si="4">E25-F25</f>
        <v>296119</v>
      </c>
      <c r="H25" s="3">
        <f>ROUND(G25*18%,0)</f>
        <v>53301</v>
      </c>
      <c r="I25" s="3">
        <f t="shared" ref="I25" si="5">G25+H25</f>
        <v>349420</v>
      </c>
      <c r="J25" s="3">
        <f>ROUND(G25*2%,)</f>
        <v>5922</v>
      </c>
      <c r="K25" s="3">
        <f>ROUND(G25*$K$6,)</f>
        <v>14806</v>
      </c>
      <c r="L25" s="3">
        <f>ROUND(G25*10%,)</f>
        <v>29612</v>
      </c>
      <c r="M25" s="3">
        <f>ROUND(G25*$M$6,)</f>
        <v>29612</v>
      </c>
      <c r="N25" s="3">
        <v>24955</v>
      </c>
      <c r="O25" s="54">
        <f>H25</f>
        <v>53301</v>
      </c>
      <c r="P25" s="4">
        <f t="shared" si="3"/>
        <v>191212</v>
      </c>
      <c r="Q25" s="36"/>
      <c r="R25" s="28">
        <v>312679</v>
      </c>
      <c r="S25" s="42" t="s">
        <v>27</v>
      </c>
      <c r="T25" s="28"/>
    </row>
    <row r="26" spans="1:22" ht="24.9" customHeight="1" x14ac:dyDescent="0.3">
      <c r="A26" s="14">
        <v>54970</v>
      </c>
      <c r="B26" s="10" t="s">
        <v>9</v>
      </c>
      <c r="C26" s="11"/>
      <c r="D26" s="126">
        <v>14</v>
      </c>
      <c r="E26" s="3">
        <f>O25</f>
        <v>53301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55">
        <f>E26</f>
        <v>53301</v>
      </c>
      <c r="Q26" s="36"/>
      <c r="R26" s="28">
        <v>82562</v>
      </c>
      <c r="S26" s="42" t="s">
        <v>35</v>
      </c>
      <c r="T26" s="28"/>
    </row>
    <row r="27" spans="1:22" ht="24.9" customHeight="1" x14ac:dyDescent="0.3">
      <c r="A27" s="14">
        <v>54970</v>
      </c>
      <c r="B27" s="3"/>
      <c r="C27" s="9"/>
      <c r="D27" s="128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4"/>
      <c r="Q27" s="36"/>
      <c r="R27" s="28">
        <v>147000</v>
      </c>
      <c r="S27" s="42" t="s">
        <v>46</v>
      </c>
      <c r="T27" s="28"/>
    </row>
    <row r="28" spans="1:22" ht="24.9" customHeight="1" x14ac:dyDescent="0.3">
      <c r="A28" s="14">
        <v>54970</v>
      </c>
      <c r="B28" s="1"/>
      <c r="C28" s="44"/>
      <c r="D28" s="129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2"/>
      <c r="Q28" s="35"/>
      <c r="R28" s="29">
        <v>44212</v>
      </c>
      <c r="S28" s="41" t="s">
        <v>56</v>
      </c>
      <c r="T28" s="29"/>
    </row>
    <row r="29" spans="1:22" ht="24.9" customHeight="1" x14ac:dyDescent="0.3">
      <c r="A29" s="14">
        <v>54970</v>
      </c>
      <c r="B29" s="1"/>
      <c r="C29" s="44"/>
      <c r="D29" s="129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2"/>
      <c r="Q29" s="35"/>
      <c r="R29" s="29">
        <v>53301</v>
      </c>
      <c r="S29" s="41" t="s">
        <v>68</v>
      </c>
      <c r="T29" s="29"/>
    </row>
    <row r="30" spans="1:22" ht="24.9" customHeight="1" thickBot="1" x14ac:dyDescent="0.35">
      <c r="A30" s="14">
        <v>54970</v>
      </c>
      <c r="B30" s="1"/>
      <c r="C30" s="44"/>
      <c r="D30" s="129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2"/>
      <c r="Q30" s="35"/>
      <c r="R30" s="60">
        <v>147000</v>
      </c>
      <c r="S30" s="45" t="s">
        <v>76</v>
      </c>
      <c r="T30" s="29"/>
      <c r="V30" s="63">
        <v>2</v>
      </c>
    </row>
    <row r="31" spans="1:22" ht="24.9" customHeight="1" x14ac:dyDescent="0.3">
      <c r="A31" s="46"/>
      <c r="B31" s="47"/>
      <c r="C31" s="48"/>
      <c r="D31" s="124"/>
      <c r="E31" s="47"/>
      <c r="F31" s="47"/>
      <c r="G31" s="47"/>
      <c r="H31" s="49"/>
      <c r="I31" s="47"/>
      <c r="J31" s="49"/>
      <c r="K31" s="49"/>
      <c r="L31" s="49"/>
      <c r="M31" s="49"/>
      <c r="N31" s="49"/>
      <c r="O31" s="49"/>
      <c r="P31" s="50"/>
      <c r="Q31" s="52">
        <f>A32</f>
        <v>55122</v>
      </c>
      <c r="R31" s="51"/>
      <c r="S31" s="50"/>
      <c r="T31" s="51"/>
    </row>
    <row r="32" spans="1:22" ht="24.9" customHeight="1" x14ac:dyDescent="0.3">
      <c r="A32" s="14">
        <v>55122</v>
      </c>
      <c r="B32" s="10" t="s">
        <v>19</v>
      </c>
      <c r="C32" s="12">
        <v>45099</v>
      </c>
      <c r="D32" s="126">
        <v>3</v>
      </c>
      <c r="E32" s="3">
        <v>967127</v>
      </c>
      <c r="F32" s="3">
        <v>67432</v>
      </c>
      <c r="G32" s="3">
        <f>E32-F32</f>
        <v>899695</v>
      </c>
      <c r="H32" s="3">
        <f>ROUND(G32*H6,0)</f>
        <v>161945</v>
      </c>
      <c r="I32" s="3">
        <f>G32+H32</f>
        <v>1061640</v>
      </c>
      <c r="J32" s="3">
        <f>ROUND(G32*$J$6,)</f>
        <v>17994</v>
      </c>
      <c r="K32" s="3">
        <f>ROUND(G32*$K$6,)</f>
        <v>44985</v>
      </c>
      <c r="L32" s="3">
        <f>ROUND(G32*5%,)</f>
        <v>44985</v>
      </c>
      <c r="M32" s="3">
        <f>ROUND(G32*$M$6,)</f>
        <v>89970</v>
      </c>
      <c r="N32" s="3">
        <v>2297</v>
      </c>
      <c r="O32" s="54">
        <f>H32</f>
        <v>161945</v>
      </c>
      <c r="P32" s="4">
        <f>ROUND(I32-SUM(J32:O32),0)</f>
        <v>699464</v>
      </c>
      <c r="Q32" s="36"/>
      <c r="R32" s="28">
        <v>294000</v>
      </c>
      <c r="S32" s="42" t="s">
        <v>20</v>
      </c>
      <c r="T32" s="28">
        <f>SUM(P32:P39,0)-SUM(R32:R39,0)</f>
        <v>15506</v>
      </c>
    </row>
    <row r="33" spans="1:20" ht="24.9" customHeight="1" x14ac:dyDescent="0.3">
      <c r="A33" s="14">
        <v>55122</v>
      </c>
      <c r="B33" s="10" t="s">
        <v>22</v>
      </c>
      <c r="C33" s="12">
        <v>45147</v>
      </c>
      <c r="D33" s="127">
        <v>3</v>
      </c>
      <c r="E33" s="3">
        <v>161945</v>
      </c>
      <c r="F33" s="3"/>
      <c r="G33" s="3">
        <f>E33-F33</f>
        <v>161945</v>
      </c>
      <c r="H33" s="3"/>
      <c r="I33" s="3">
        <f>G33+H33</f>
        <v>161945</v>
      </c>
      <c r="J33" s="3"/>
      <c r="K33" s="3"/>
      <c r="L33" s="3"/>
      <c r="M33" s="3"/>
      <c r="N33" s="3"/>
      <c r="O33" s="3"/>
      <c r="P33" s="55">
        <f>ROUND(I33-SUM(J33:O33),0)</f>
        <v>161945</v>
      </c>
      <c r="Q33" s="36"/>
      <c r="R33" s="28">
        <v>405464</v>
      </c>
      <c r="S33" s="42" t="s">
        <v>23</v>
      </c>
      <c r="T33" s="28"/>
    </row>
    <row r="34" spans="1:20" ht="24.9" customHeight="1" x14ac:dyDescent="0.3">
      <c r="A34" s="14">
        <v>55122</v>
      </c>
      <c r="B34" s="10" t="s">
        <v>19</v>
      </c>
      <c r="C34" s="12">
        <v>45174</v>
      </c>
      <c r="D34" s="127">
        <v>8</v>
      </c>
      <c r="E34" s="3">
        <v>1015962</v>
      </c>
      <c r="F34" s="3">
        <v>114000</v>
      </c>
      <c r="G34" s="3">
        <f>E34-F34</f>
        <v>901962</v>
      </c>
      <c r="H34" s="3">
        <f>ROUND(G34*18%,0)</f>
        <v>162353</v>
      </c>
      <c r="I34" s="3">
        <f>G34+H34</f>
        <v>1064315</v>
      </c>
      <c r="J34" s="3">
        <f>ROUND(G34*$J$6,)</f>
        <v>18039</v>
      </c>
      <c r="K34" s="3">
        <f>ROUND(G34*$K$6,)</f>
        <v>45098</v>
      </c>
      <c r="L34" s="3"/>
      <c r="M34" s="3"/>
      <c r="N34" s="3">
        <v>7277</v>
      </c>
      <c r="O34" s="54">
        <f>H34</f>
        <v>162353</v>
      </c>
      <c r="P34" s="4">
        <f>ROUND(I34-SUM(J34:O34),0)</f>
        <v>831548</v>
      </c>
      <c r="Q34" s="36"/>
      <c r="R34" s="28">
        <v>147000</v>
      </c>
      <c r="S34" s="42" t="s">
        <v>24</v>
      </c>
      <c r="T34" s="28"/>
    </row>
    <row r="35" spans="1:20" ht="24.9" customHeight="1" x14ac:dyDescent="0.3">
      <c r="A35" s="14">
        <v>55122</v>
      </c>
      <c r="B35" s="10" t="s">
        <v>22</v>
      </c>
      <c r="C35" s="12">
        <v>45215</v>
      </c>
      <c r="D35" s="127">
        <v>8</v>
      </c>
      <c r="E35" s="3">
        <v>162353</v>
      </c>
      <c r="F35" s="3"/>
      <c r="G35" s="3">
        <f>E35-F35</f>
        <v>162353</v>
      </c>
      <c r="H35" s="3"/>
      <c r="I35" s="3">
        <f>G35+H35</f>
        <v>162353</v>
      </c>
      <c r="J35" s="3"/>
      <c r="K35" s="3"/>
      <c r="L35" s="3"/>
      <c r="M35" s="3"/>
      <c r="N35" s="8"/>
      <c r="O35" s="3"/>
      <c r="P35" s="55">
        <f>ROUND(I35-SUM(J35:O35),0)</f>
        <v>162353</v>
      </c>
      <c r="Q35" s="36"/>
      <c r="R35" s="28">
        <v>161945</v>
      </c>
      <c r="S35" s="42" t="s">
        <v>25</v>
      </c>
      <c r="T35" s="28"/>
    </row>
    <row r="36" spans="1:20" ht="24.9" customHeight="1" x14ac:dyDescent="0.3">
      <c r="A36" s="14">
        <v>55122</v>
      </c>
      <c r="B36" s="10" t="s">
        <v>19</v>
      </c>
      <c r="C36" s="12">
        <v>45474</v>
      </c>
      <c r="D36" s="127">
        <v>1</v>
      </c>
      <c r="E36" s="3">
        <v>86142</v>
      </c>
      <c r="F36" s="3">
        <v>0</v>
      </c>
      <c r="G36" s="3">
        <f>E36-F36</f>
        <v>86142</v>
      </c>
      <c r="H36" s="3">
        <f>ROUND(G36*18%,0)</f>
        <v>15506</v>
      </c>
      <c r="I36" s="3">
        <f>G36+H36</f>
        <v>101648</v>
      </c>
      <c r="J36" s="3">
        <f>ROUND(G36*$J$6,)</f>
        <v>1723</v>
      </c>
      <c r="K36" s="3">
        <f>ROUND(G36*$K$6,)</f>
        <v>4307</v>
      </c>
      <c r="L36" s="3">
        <f>ROUND(G36*10%,)</f>
        <v>8614</v>
      </c>
      <c r="M36" s="3">
        <f>ROUND(G36*$M$6,)</f>
        <v>8614</v>
      </c>
      <c r="N36" s="3">
        <v>32248</v>
      </c>
      <c r="O36" s="54">
        <f>H36</f>
        <v>15506</v>
      </c>
      <c r="P36" s="4">
        <f>ROUND(I36-SUM(J36:O36),0)</f>
        <v>30636</v>
      </c>
      <c r="Q36" s="36"/>
      <c r="R36" s="28">
        <v>684548</v>
      </c>
      <c r="S36" s="42" t="s">
        <v>36</v>
      </c>
      <c r="T36" s="28"/>
    </row>
    <row r="37" spans="1:20" ht="24.9" customHeight="1" x14ac:dyDescent="0.3">
      <c r="A37" s="14">
        <v>55122</v>
      </c>
      <c r="B37" s="10" t="s">
        <v>9</v>
      </c>
      <c r="C37" s="12"/>
      <c r="D37" s="127">
        <v>1</v>
      </c>
      <c r="E37" s="3">
        <f>O36</f>
        <v>15506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55">
        <f>E37</f>
        <v>15506</v>
      </c>
      <c r="Q37" s="36"/>
      <c r="R37" s="28">
        <v>162353</v>
      </c>
      <c r="S37" s="42" t="s">
        <v>39</v>
      </c>
      <c r="T37" s="28"/>
    </row>
    <row r="38" spans="1:20" ht="24.9" customHeight="1" x14ac:dyDescent="0.3">
      <c r="A38" s="14">
        <v>55122</v>
      </c>
      <c r="B38" s="10"/>
      <c r="C38" s="12"/>
      <c r="D38" s="127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4"/>
      <c r="Q38" s="36"/>
      <c r="R38" s="28">
        <v>30636</v>
      </c>
      <c r="S38" s="42" t="s">
        <v>71</v>
      </c>
      <c r="T38" s="28"/>
    </row>
    <row r="39" spans="1:20" ht="24.9" customHeight="1" thickBot="1" x14ac:dyDescent="0.35">
      <c r="A39" s="14">
        <v>55122</v>
      </c>
      <c r="B39" s="10"/>
      <c r="C39" s="12"/>
      <c r="D39" s="127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4"/>
      <c r="Q39" s="36"/>
      <c r="R39" s="28"/>
      <c r="S39" s="42"/>
      <c r="T39" s="28"/>
    </row>
    <row r="40" spans="1:20" ht="24.9" customHeight="1" x14ac:dyDescent="0.3">
      <c r="A40" s="46"/>
      <c r="B40" s="47"/>
      <c r="C40" s="48"/>
      <c r="D40" s="124"/>
      <c r="E40" s="47"/>
      <c r="F40" s="47"/>
      <c r="G40" s="47"/>
      <c r="H40" s="49"/>
      <c r="I40" s="47"/>
      <c r="J40" s="49"/>
      <c r="K40" s="49"/>
      <c r="L40" s="49"/>
      <c r="M40" s="49"/>
      <c r="N40" s="49"/>
      <c r="O40" s="49"/>
      <c r="P40" s="50"/>
      <c r="Q40" s="52">
        <f>A41</f>
        <v>57927</v>
      </c>
      <c r="R40" s="51"/>
      <c r="S40" s="50"/>
      <c r="T40" s="51"/>
    </row>
    <row r="41" spans="1:20" ht="24.9" customHeight="1" x14ac:dyDescent="0.3">
      <c r="A41" s="14">
        <v>57927</v>
      </c>
      <c r="B41" s="10" t="s">
        <v>117</v>
      </c>
      <c r="C41" s="9">
        <v>45251</v>
      </c>
      <c r="D41" s="128">
        <v>12</v>
      </c>
      <c r="E41" s="3">
        <v>750437</v>
      </c>
      <c r="F41" s="3">
        <v>189250</v>
      </c>
      <c r="G41" s="3">
        <f>E41-F41</f>
        <v>561187</v>
      </c>
      <c r="H41" s="3">
        <f>G41*18%</f>
        <v>101013.66</v>
      </c>
      <c r="I41" s="3">
        <f>G41+H41</f>
        <v>662200.66</v>
      </c>
      <c r="J41" s="3">
        <f>G41*2%</f>
        <v>11223.74</v>
      </c>
      <c r="K41" s="3">
        <f>G41*5%</f>
        <v>28059.350000000002</v>
      </c>
      <c r="L41" s="3">
        <f>G41*10%</f>
        <v>56118.700000000004</v>
      </c>
      <c r="M41" s="3">
        <f>G41*10%</f>
        <v>56118.700000000004</v>
      </c>
      <c r="N41" s="3"/>
      <c r="O41" s="54">
        <f>H41</f>
        <v>101013.66</v>
      </c>
      <c r="P41" s="4">
        <f>G41-J41-K41-L41-M41</f>
        <v>409666.51</v>
      </c>
      <c r="Q41" s="36"/>
      <c r="R41" s="28">
        <v>196000</v>
      </c>
      <c r="S41" s="42" t="s">
        <v>21</v>
      </c>
      <c r="T41" s="28">
        <f>SUM(P41:P43,0)-SUM(R41:R43,0)</f>
        <v>0.17000000004190952</v>
      </c>
    </row>
    <row r="42" spans="1:20" ht="24.9" customHeight="1" x14ac:dyDescent="0.3">
      <c r="A42" s="14">
        <v>57927</v>
      </c>
      <c r="B42" s="10" t="s">
        <v>9</v>
      </c>
      <c r="C42" s="9"/>
      <c r="D42" s="128">
        <v>12</v>
      </c>
      <c r="E42" s="3">
        <f>H41</f>
        <v>101013.66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55">
        <f>E42</f>
        <v>101013.66</v>
      </c>
      <c r="Q42" s="36"/>
      <c r="R42" s="28">
        <v>213666</v>
      </c>
      <c r="S42" s="42" t="s">
        <v>44</v>
      </c>
      <c r="T42" s="28"/>
    </row>
    <row r="43" spans="1:20" ht="24.9" customHeight="1" thickBot="1" x14ac:dyDescent="0.35">
      <c r="A43" s="14">
        <v>57927</v>
      </c>
      <c r="B43" s="3"/>
      <c r="C43" s="9"/>
      <c r="D43" s="128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4"/>
      <c r="Q43" s="36"/>
      <c r="R43" s="28">
        <v>101014</v>
      </c>
      <c r="S43" s="42" t="s">
        <v>45</v>
      </c>
      <c r="T43" s="28"/>
    </row>
    <row r="44" spans="1:20" ht="24.9" customHeight="1" x14ac:dyDescent="0.3">
      <c r="A44" s="46"/>
      <c r="B44" s="47"/>
      <c r="C44" s="48"/>
      <c r="D44" s="124"/>
      <c r="E44" s="47"/>
      <c r="F44" s="47"/>
      <c r="G44" s="47"/>
      <c r="H44" s="49"/>
      <c r="I44" s="47"/>
      <c r="J44" s="49"/>
      <c r="K44" s="49"/>
      <c r="L44" s="49"/>
      <c r="M44" s="49"/>
      <c r="N44" s="49"/>
      <c r="O44" s="49"/>
      <c r="P44" s="50"/>
      <c r="Q44" s="52">
        <f>A45</f>
        <v>57928</v>
      </c>
      <c r="R44" s="51"/>
      <c r="S44" s="50"/>
      <c r="T44" s="51"/>
    </row>
    <row r="45" spans="1:20" ht="24.9" customHeight="1" x14ac:dyDescent="0.3">
      <c r="A45" s="14">
        <v>57928</v>
      </c>
      <c r="B45" s="10" t="s">
        <v>118</v>
      </c>
      <c r="C45" s="12">
        <v>45134</v>
      </c>
      <c r="D45" s="126">
        <v>5</v>
      </c>
      <c r="E45" s="3">
        <v>438174</v>
      </c>
      <c r="F45" s="3">
        <f>57000</f>
        <v>57000</v>
      </c>
      <c r="G45" s="3">
        <f>E45-F45</f>
        <v>381174</v>
      </c>
      <c r="H45" s="3">
        <f>G45*18%</f>
        <v>68611.319999999992</v>
      </c>
      <c r="I45" s="3">
        <f>G45+H45</f>
        <v>449785.32</v>
      </c>
      <c r="J45" s="3">
        <f>ROUND(G45*$J$6,)</f>
        <v>7623</v>
      </c>
      <c r="K45" s="3">
        <f>ROUND(G45*$K$6,)</f>
        <v>19059</v>
      </c>
      <c r="L45" s="3">
        <v>0</v>
      </c>
      <c r="M45" s="3">
        <v>0</v>
      </c>
      <c r="N45" s="3"/>
      <c r="O45" s="54">
        <f>H45</f>
        <v>68611.319999999992</v>
      </c>
      <c r="P45" s="4">
        <f>ROUND(I45-SUM(J45:O45),0)</f>
        <v>354492</v>
      </c>
      <c r="Q45" s="36"/>
      <c r="R45" s="28">
        <v>354492</v>
      </c>
      <c r="S45" s="42" t="s">
        <v>26</v>
      </c>
      <c r="T45" s="28">
        <f>SUM(P45:P48,0)-SUM(R45:R48,0)</f>
        <v>0</v>
      </c>
    </row>
    <row r="46" spans="1:20" ht="24.9" customHeight="1" x14ac:dyDescent="0.3">
      <c r="A46" s="14">
        <v>57928</v>
      </c>
      <c r="B46" s="10" t="s">
        <v>118</v>
      </c>
      <c r="C46" s="12">
        <v>45174</v>
      </c>
      <c r="D46" s="127">
        <v>7</v>
      </c>
      <c r="E46" s="3">
        <v>882024</v>
      </c>
      <c r="F46" s="3">
        <v>111000</v>
      </c>
      <c r="G46" s="3">
        <f>E46-F46</f>
        <v>771024</v>
      </c>
      <c r="H46" s="3">
        <f>G46*18%</f>
        <v>138784.32000000001</v>
      </c>
      <c r="I46" s="3">
        <f>G46+H46</f>
        <v>909808.32000000007</v>
      </c>
      <c r="J46" s="3">
        <f>ROUND(G46*$J$6,)</f>
        <v>15420</v>
      </c>
      <c r="K46" s="3">
        <f>ROUND(G46*$K$6,)</f>
        <v>38551</v>
      </c>
      <c r="L46" s="3">
        <v>0</v>
      </c>
      <c r="M46" s="3">
        <v>0</v>
      </c>
      <c r="N46" s="3"/>
      <c r="O46" s="54">
        <f>H46</f>
        <v>138784.32000000001</v>
      </c>
      <c r="P46" s="4">
        <f>ROUND(I46-SUM(J46:O46),0)</f>
        <v>717053</v>
      </c>
      <c r="Q46" s="36"/>
      <c r="R46" s="28">
        <v>717053</v>
      </c>
      <c r="S46" s="42" t="s">
        <v>28</v>
      </c>
      <c r="T46" s="28"/>
    </row>
    <row r="47" spans="1:20" ht="24.9" customHeight="1" x14ac:dyDescent="0.3">
      <c r="A47" s="14">
        <v>57928</v>
      </c>
      <c r="B47" s="10" t="s">
        <v>29</v>
      </c>
      <c r="C47" s="12">
        <v>45187</v>
      </c>
      <c r="D47" s="127">
        <v>5</v>
      </c>
      <c r="E47" s="3">
        <v>68611</v>
      </c>
      <c r="F47" s="3">
        <v>0</v>
      </c>
      <c r="G47" s="3">
        <f>E47-F47</f>
        <v>68611</v>
      </c>
      <c r="H47" s="3">
        <v>0</v>
      </c>
      <c r="I47" s="3">
        <f>G47+H47</f>
        <v>68611</v>
      </c>
      <c r="J47" s="3"/>
      <c r="K47" s="3"/>
      <c r="L47" s="3"/>
      <c r="M47" s="3"/>
      <c r="N47" s="3"/>
      <c r="O47" s="3"/>
      <c r="P47" s="55">
        <f>ROUND(I47-SUM(J47:O47),0)</f>
        <v>68611</v>
      </c>
      <c r="Q47" s="36"/>
      <c r="R47" s="28">
        <v>68611</v>
      </c>
      <c r="S47" s="42" t="s">
        <v>31</v>
      </c>
      <c r="T47" s="28"/>
    </row>
    <row r="48" spans="1:20" ht="24.9" customHeight="1" thickBot="1" x14ac:dyDescent="0.35">
      <c r="A48" s="14">
        <v>57928</v>
      </c>
      <c r="B48" s="10" t="s">
        <v>29</v>
      </c>
      <c r="C48" s="12">
        <v>45215</v>
      </c>
      <c r="D48" s="127">
        <v>7</v>
      </c>
      <c r="E48" s="3">
        <v>138784</v>
      </c>
      <c r="F48" s="3">
        <v>0</v>
      </c>
      <c r="G48" s="3">
        <f>E48-F48</f>
        <v>138784</v>
      </c>
      <c r="H48" s="3">
        <v>0</v>
      </c>
      <c r="I48" s="3">
        <f>G48+H48</f>
        <v>138784</v>
      </c>
      <c r="J48" s="3"/>
      <c r="K48" s="3"/>
      <c r="L48" s="3"/>
      <c r="M48" s="3"/>
      <c r="N48" s="3"/>
      <c r="O48" s="3"/>
      <c r="P48" s="55">
        <f>ROUND(I48-SUM(J48:O48),0)</f>
        <v>138784</v>
      </c>
      <c r="Q48" s="36"/>
      <c r="R48" s="28">
        <v>138784</v>
      </c>
      <c r="S48" s="42" t="s">
        <v>40</v>
      </c>
      <c r="T48" s="28"/>
    </row>
    <row r="49" spans="1:22" ht="24.9" customHeight="1" x14ac:dyDescent="0.3">
      <c r="A49" s="46"/>
      <c r="B49" s="47"/>
      <c r="C49" s="48"/>
      <c r="D49" s="124"/>
      <c r="E49" s="47"/>
      <c r="F49" s="47"/>
      <c r="G49" s="47"/>
      <c r="H49" s="49"/>
      <c r="I49" s="47"/>
      <c r="J49" s="49"/>
      <c r="K49" s="49"/>
      <c r="L49" s="49"/>
      <c r="M49" s="49"/>
      <c r="N49" s="49"/>
      <c r="O49" s="49"/>
      <c r="P49" s="50"/>
      <c r="Q49" s="52">
        <f>A50</f>
        <v>58519</v>
      </c>
      <c r="R49" s="51"/>
      <c r="S49" s="50"/>
      <c r="T49" s="51"/>
    </row>
    <row r="50" spans="1:22" ht="24.9" customHeight="1" x14ac:dyDescent="0.3">
      <c r="A50" s="14">
        <v>58519</v>
      </c>
      <c r="B50" s="10" t="s">
        <v>119</v>
      </c>
      <c r="C50" s="12">
        <v>45134</v>
      </c>
      <c r="D50" s="126">
        <v>4</v>
      </c>
      <c r="E50" s="3">
        <v>870050</v>
      </c>
      <c r="F50" s="3">
        <v>68837</v>
      </c>
      <c r="G50" s="3">
        <f>E50-F50</f>
        <v>801213</v>
      </c>
      <c r="H50" s="3">
        <f>G50*18%</f>
        <v>144218.34</v>
      </c>
      <c r="I50" s="3">
        <f>G50+H50</f>
        <v>945431.34</v>
      </c>
      <c r="J50" s="3">
        <f>ROUND(G50*$J$6,)</f>
        <v>16024</v>
      </c>
      <c r="K50" s="3">
        <f>ROUND(G50*$K$6,)</f>
        <v>40061</v>
      </c>
      <c r="L50" s="3">
        <f>G50*5%</f>
        <v>40060.65</v>
      </c>
      <c r="M50" s="3">
        <f>G50*$M$6</f>
        <v>80121.3</v>
      </c>
      <c r="N50" s="3">
        <v>54263</v>
      </c>
      <c r="O50" s="54">
        <f>H50</f>
        <v>144218.34</v>
      </c>
      <c r="P50" s="4">
        <f>ROUND(I50-SUM(J50:O50),0)</f>
        <v>570683</v>
      </c>
      <c r="Q50" s="36"/>
      <c r="R50" s="28">
        <v>570683</v>
      </c>
      <c r="S50" s="42" t="s">
        <v>51</v>
      </c>
      <c r="T50" s="28">
        <f>SUM(P50:P55,0)-SUM(R50:R55,0)</f>
        <v>35133.399999999907</v>
      </c>
    </row>
    <row r="51" spans="1:22" ht="24.9" customHeight="1" x14ac:dyDescent="0.3">
      <c r="A51" s="14">
        <v>58519</v>
      </c>
      <c r="B51" s="10" t="s">
        <v>9</v>
      </c>
      <c r="C51" s="12"/>
      <c r="D51" s="127">
        <v>4</v>
      </c>
      <c r="E51" s="3">
        <f>O50</f>
        <v>144218.34</v>
      </c>
      <c r="F51" s="3">
        <v>0</v>
      </c>
      <c r="G51" s="3">
        <f>E51-F51</f>
        <v>144218.34</v>
      </c>
      <c r="H51" s="3">
        <v>0</v>
      </c>
      <c r="I51" s="3">
        <f>G51+H51</f>
        <v>144218.34</v>
      </c>
      <c r="J51" s="3"/>
      <c r="K51" s="3"/>
      <c r="L51" s="3"/>
      <c r="M51" s="3"/>
      <c r="N51" s="3"/>
      <c r="O51" s="3"/>
      <c r="P51" s="55">
        <f>ROUND(I51-SUM(J51:O51),0)</f>
        <v>144218</v>
      </c>
      <c r="Q51" s="36"/>
      <c r="R51" s="28">
        <v>144218</v>
      </c>
      <c r="S51" s="42" t="s">
        <v>52</v>
      </c>
      <c r="T51" s="28"/>
    </row>
    <row r="52" spans="1:22" ht="24.9" customHeight="1" x14ac:dyDescent="0.3">
      <c r="A52" s="14">
        <v>58519</v>
      </c>
      <c r="B52" s="10" t="s">
        <v>119</v>
      </c>
      <c r="C52" s="12">
        <v>45316</v>
      </c>
      <c r="D52" s="126">
        <v>15</v>
      </c>
      <c r="E52" s="3">
        <v>842655</v>
      </c>
      <c r="F52" s="3">
        <v>70000</v>
      </c>
      <c r="G52" s="3">
        <f>E52-F52</f>
        <v>772655</v>
      </c>
      <c r="H52" s="3">
        <f>G52*18%</f>
        <v>139077.9</v>
      </c>
      <c r="I52" s="3">
        <f>G52+H52</f>
        <v>911732.9</v>
      </c>
      <c r="J52" s="3">
        <f>ROUND(G52*$J$6,)</f>
        <v>15453</v>
      </c>
      <c r="K52" s="3">
        <f>ROUND(G52*$K$6,)</f>
        <v>38633</v>
      </c>
      <c r="L52" s="3">
        <f>G52*10%</f>
        <v>77265.5</v>
      </c>
      <c r="M52" s="3">
        <f>G52*$M$6</f>
        <v>77265.5</v>
      </c>
      <c r="N52" s="3"/>
      <c r="O52" s="54">
        <f>H52</f>
        <v>139077.9</v>
      </c>
      <c r="P52" s="4">
        <f>ROUND(I52-SUM(J52:O52),0)</f>
        <v>564038</v>
      </c>
      <c r="Q52" s="36"/>
      <c r="R52" s="28">
        <v>196000</v>
      </c>
      <c r="S52" s="42" t="s">
        <v>53</v>
      </c>
      <c r="T52" s="28"/>
    </row>
    <row r="53" spans="1:22" ht="24.9" customHeight="1" x14ac:dyDescent="0.3">
      <c r="A53" s="14">
        <v>58519</v>
      </c>
      <c r="B53" s="10" t="s">
        <v>9</v>
      </c>
      <c r="C53" s="12"/>
      <c r="D53" s="127">
        <v>15</v>
      </c>
      <c r="E53" s="3">
        <f>O52</f>
        <v>139077.9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55">
        <f>E53</f>
        <v>139077.9</v>
      </c>
      <c r="Q53" s="36"/>
      <c r="R53" s="28">
        <v>368037</v>
      </c>
      <c r="S53" s="42" t="s">
        <v>54</v>
      </c>
      <c r="T53" s="28"/>
    </row>
    <row r="54" spans="1:22" ht="24.9" customHeight="1" x14ac:dyDescent="0.3">
      <c r="A54" s="14">
        <v>58519</v>
      </c>
      <c r="B54" s="10" t="s">
        <v>119</v>
      </c>
      <c r="C54" s="12">
        <v>45474</v>
      </c>
      <c r="D54" s="126">
        <v>3</v>
      </c>
      <c r="E54" s="3">
        <v>195175</v>
      </c>
      <c r="F54" s="3">
        <v>0</v>
      </c>
      <c r="G54" s="3">
        <f>E54-F54</f>
        <v>195175</v>
      </c>
      <c r="H54" s="3">
        <f>G54*18%</f>
        <v>35131.5</v>
      </c>
      <c r="I54" s="3">
        <f>G54+H54</f>
        <v>230306.5</v>
      </c>
      <c r="J54" s="3">
        <f>ROUND(G54*$J$6,)</f>
        <v>3904</v>
      </c>
      <c r="K54" s="3">
        <f>ROUND(G54*$K$6,)</f>
        <v>9759</v>
      </c>
      <c r="L54" s="3">
        <f>G54*10%</f>
        <v>19517.5</v>
      </c>
      <c r="M54" s="3">
        <f>G54*$M$6</f>
        <v>19517.5</v>
      </c>
      <c r="N54" s="3">
        <v>3300</v>
      </c>
      <c r="O54" s="54">
        <f>H54</f>
        <v>35131.5</v>
      </c>
      <c r="P54" s="4">
        <f>ROUND(I54-SUM(J54:O54),0)</f>
        <v>139177</v>
      </c>
      <c r="Q54" s="35"/>
      <c r="R54" s="29">
        <v>139078</v>
      </c>
      <c r="S54" s="41" t="s">
        <v>64</v>
      </c>
      <c r="T54" s="29"/>
    </row>
    <row r="55" spans="1:22" ht="24.9" customHeight="1" thickBot="1" x14ac:dyDescent="0.35">
      <c r="A55" s="14">
        <v>58519</v>
      </c>
      <c r="B55" s="10" t="s">
        <v>9</v>
      </c>
      <c r="C55" s="40"/>
      <c r="D55" s="125">
        <v>3</v>
      </c>
      <c r="E55" s="1">
        <f>O54</f>
        <v>35131.5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55">
        <f>E55</f>
        <v>35131.5</v>
      </c>
      <c r="Q55" s="35"/>
      <c r="R55" s="29">
        <v>139176</v>
      </c>
      <c r="S55" s="41" t="s">
        <v>69</v>
      </c>
      <c r="T55" s="29"/>
    </row>
    <row r="56" spans="1:22" ht="24.9" customHeight="1" x14ac:dyDescent="0.3">
      <c r="A56" s="46"/>
      <c r="B56" s="47"/>
      <c r="C56" s="48"/>
      <c r="D56" s="124"/>
      <c r="E56" s="47"/>
      <c r="F56" s="47"/>
      <c r="G56" s="47"/>
      <c r="H56" s="49"/>
      <c r="I56" s="47"/>
      <c r="J56" s="49"/>
      <c r="K56" s="49"/>
      <c r="L56" s="49"/>
      <c r="M56" s="49"/>
      <c r="N56" s="49"/>
      <c r="O56" s="49"/>
      <c r="P56" s="50"/>
      <c r="Q56" s="52">
        <f>A57</f>
        <v>59474</v>
      </c>
      <c r="R56" s="51"/>
      <c r="S56" s="50"/>
      <c r="T56" s="51"/>
    </row>
    <row r="57" spans="1:22" ht="24.9" customHeight="1" x14ac:dyDescent="0.3">
      <c r="A57" s="14">
        <v>59474</v>
      </c>
      <c r="B57" s="10" t="s">
        <v>30</v>
      </c>
      <c r="C57" s="12">
        <v>45197</v>
      </c>
      <c r="D57" s="127">
        <v>9</v>
      </c>
      <c r="E57" s="3">
        <v>816811</v>
      </c>
      <c r="F57" s="3">
        <f>26973+(1024*20)</f>
        <v>47453</v>
      </c>
      <c r="G57" s="3">
        <f>E57-F57</f>
        <v>769358</v>
      </c>
      <c r="H57" s="3">
        <f>ROUND(G57*18%,0)</f>
        <v>138484</v>
      </c>
      <c r="I57" s="3">
        <f>ROUND(G57+H57,)</f>
        <v>907842</v>
      </c>
      <c r="J57" s="3">
        <f>G57*$J$6</f>
        <v>15387.16</v>
      </c>
      <c r="K57" s="3">
        <f>G57*$K$6</f>
        <v>38467.9</v>
      </c>
      <c r="L57" s="3">
        <f>G57*5%</f>
        <v>38467.9</v>
      </c>
      <c r="M57" s="3">
        <f>G57*$M$6</f>
        <v>76935.8</v>
      </c>
      <c r="N57" s="3">
        <v>5335</v>
      </c>
      <c r="O57" s="54">
        <f>H57</f>
        <v>138484</v>
      </c>
      <c r="P57" s="4">
        <f>ROUND(I57-SUM(J57:O57),0)</f>
        <v>594764</v>
      </c>
      <c r="Q57" s="36"/>
      <c r="R57" s="28">
        <v>594764</v>
      </c>
      <c r="S57" s="42" t="s">
        <v>32</v>
      </c>
      <c r="T57" s="28">
        <f>SUM(P57:P67,0)-SUM(R57:R67,0)</f>
        <v>162365</v>
      </c>
    </row>
    <row r="58" spans="1:22" ht="24.9" customHeight="1" x14ac:dyDescent="0.3">
      <c r="A58" s="14">
        <v>59474</v>
      </c>
      <c r="B58" s="10" t="s">
        <v>9</v>
      </c>
      <c r="C58" s="12"/>
      <c r="D58" s="127">
        <v>9</v>
      </c>
      <c r="E58" s="3">
        <v>138484</v>
      </c>
      <c r="F58" s="3">
        <v>0</v>
      </c>
      <c r="G58" s="3"/>
      <c r="H58" s="3"/>
      <c r="I58" s="3"/>
      <c r="J58" s="3"/>
      <c r="K58" s="3"/>
      <c r="L58" s="3"/>
      <c r="M58" s="3"/>
      <c r="N58" s="3"/>
      <c r="O58" s="3"/>
      <c r="P58" s="55">
        <f>E58</f>
        <v>138484</v>
      </c>
      <c r="Q58" s="36"/>
      <c r="R58" s="28">
        <v>138484</v>
      </c>
      <c r="S58" s="42" t="s">
        <v>41</v>
      </c>
      <c r="T58" s="28"/>
    </row>
    <row r="59" spans="1:22" ht="24.9" customHeight="1" x14ac:dyDescent="0.3">
      <c r="A59" s="14">
        <v>59474</v>
      </c>
      <c r="B59" s="10" t="s">
        <v>30</v>
      </c>
      <c r="C59" s="12">
        <v>45280</v>
      </c>
      <c r="D59" s="127">
        <v>13</v>
      </c>
      <c r="E59" s="3">
        <v>776279</v>
      </c>
      <c r="F59" s="3">
        <v>101973</v>
      </c>
      <c r="G59" s="3">
        <f>E59-F59</f>
        <v>674306</v>
      </c>
      <c r="H59" s="3">
        <f>ROUND(G59*18%,0)</f>
        <v>121375</v>
      </c>
      <c r="I59" s="3">
        <f>ROUND(G59+H59,)</f>
        <v>795681</v>
      </c>
      <c r="J59" s="3">
        <f>G59*$J$6</f>
        <v>13486.12</v>
      </c>
      <c r="K59" s="3">
        <f>G59*$K$6</f>
        <v>33715.300000000003</v>
      </c>
      <c r="L59" s="3">
        <f>G59*10%</f>
        <v>67430.600000000006</v>
      </c>
      <c r="M59" s="3">
        <f>G59*$M$6</f>
        <v>67430.600000000006</v>
      </c>
      <c r="N59" s="3"/>
      <c r="O59" s="54">
        <f>H59</f>
        <v>121375</v>
      </c>
      <c r="P59" s="4">
        <f>ROUND(I59-SUM(J59:O59),0)</f>
        <v>492243</v>
      </c>
      <c r="Q59" s="35"/>
      <c r="R59" s="29">
        <v>492243</v>
      </c>
      <c r="S59" s="41" t="s">
        <v>47</v>
      </c>
      <c r="T59" s="29"/>
    </row>
    <row r="60" spans="1:22" ht="24.9" customHeight="1" x14ac:dyDescent="0.3">
      <c r="A60" s="14">
        <v>59474</v>
      </c>
      <c r="B60" s="10" t="s">
        <v>9</v>
      </c>
      <c r="C60" s="12">
        <v>45315</v>
      </c>
      <c r="D60" s="127">
        <v>13</v>
      </c>
      <c r="E60" s="3">
        <f>O59</f>
        <v>121375</v>
      </c>
      <c r="F60" s="3">
        <v>0</v>
      </c>
      <c r="G60" s="3"/>
      <c r="H60" s="3"/>
      <c r="I60" s="3"/>
      <c r="J60" s="3"/>
      <c r="K60" s="3"/>
      <c r="L60" s="3"/>
      <c r="M60" s="3"/>
      <c r="N60" s="3"/>
      <c r="O60" s="3"/>
      <c r="P60" s="55">
        <f>E60</f>
        <v>121375</v>
      </c>
      <c r="Q60" s="35"/>
      <c r="R60" s="29">
        <v>350000</v>
      </c>
      <c r="S60" s="41" t="s">
        <v>57</v>
      </c>
      <c r="T60" s="29"/>
    </row>
    <row r="61" spans="1:22" ht="24.9" customHeight="1" x14ac:dyDescent="0.3">
      <c r="A61" s="14">
        <v>59474</v>
      </c>
      <c r="B61" s="10" t="s">
        <v>30</v>
      </c>
      <c r="C61" s="12">
        <v>45280</v>
      </c>
      <c r="D61" s="127">
        <v>20</v>
      </c>
      <c r="E61" s="3">
        <v>1309104</v>
      </c>
      <c r="F61" s="3">
        <v>0</v>
      </c>
      <c r="G61" s="3">
        <f>E61-F61</f>
        <v>1309104</v>
      </c>
      <c r="H61" s="3">
        <f>ROUND(G61*18%,0)</f>
        <v>235639</v>
      </c>
      <c r="I61" s="3">
        <f>ROUND(G61+H61,)</f>
        <v>1544743</v>
      </c>
      <c r="J61" s="3">
        <f>G61*$J$6</f>
        <v>26182.080000000002</v>
      </c>
      <c r="K61" s="3">
        <f>G61*$K$6</f>
        <v>65455.200000000004</v>
      </c>
      <c r="L61" s="3">
        <f>G61*10%</f>
        <v>130910.40000000001</v>
      </c>
      <c r="M61" s="3">
        <f>G61*$M$6</f>
        <v>130910.40000000001</v>
      </c>
      <c r="N61" s="3">
        <v>212038</v>
      </c>
      <c r="O61" s="54">
        <f>H61</f>
        <v>235639</v>
      </c>
      <c r="P61" s="4">
        <f>ROUND(I61-SUM(J61:O61),0)</f>
        <v>743608</v>
      </c>
      <c r="Q61" s="35"/>
      <c r="R61" s="29">
        <v>121375</v>
      </c>
      <c r="S61" s="41" t="s">
        <v>60</v>
      </c>
      <c r="T61" s="29"/>
    </row>
    <row r="62" spans="1:22" ht="24.9" customHeight="1" x14ac:dyDescent="0.3">
      <c r="A62" s="14">
        <v>59474</v>
      </c>
      <c r="B62" s="10" t="s">
        <v>9</v>
      </c>
      <c r="C62" s="40"/>
      <c r="D62" s="130">
        <v>20</v>
      </c>
      <c r="E62" s="1">
        <f>O61</f>
        <v>235639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56">
        <f>E62</f>
        <v>235639</v>
      </c>
      <c r="Q62" s="35"/>
      <c r="R62" s="29">
        <v>393609</v>
      </c>
      <c r="S62" s="41" t="s">
        <v>61</v>
      </c>
      <c r="T62" s="29"/>
    </row>
    <row r="63" spans="1:22" ht="24.9" customHeight="1" x14ac:dyDescent="0.3">
      <c r="A63" s="14">
        <v>59474</v>
      </c>
      <c r="B63" s="10" t="s">
        <v>30</v>
      </c>
      <c r="C63" s="12">
        <v>45611</v>
      </c>
      <c r="D63" s="127">
        <v>11</v>
      </c>
      <c r="E63" s="3">
        <v>1521300</v>
      </c>
      <c r="F63" s="3">
        <v>401500</v>
      </c>
      <c r="G63" s="3">
        <f>E63-F63</f>
        <v>1119800</v>
      </c>
      <c r="H63" s="3">
        <f>ROUND(G63*18%,0)</f>
        <v>201564</v>
      </c>
      <c r="I63" s="3">
        <f>ROUND(G63+H63,)</f>
        <v>1321364</v>
      </c>
      <c r="J63" s="3">
        <f>G63*$J$6</f>
        <v>22396</v>
      </c>
      <c r="K63" s="3">
        <f>G63*$K$6</f>
        <v>55990</v>
      </c>
      <c r="L63" s="3">
        <f>G63*10%</f>
        <v>111980</v>
      </c>
      <c r="M63" s="3">
        <f>G63*$M$6</f>
        <v>111980</v>
      </c>
      <c r="N63" s="3">
        <v>160652</v>
      </c>
      <c r="O63" s="54">
        <f>H63</f>
        <v>201564</v>
      </c>
      <c r="P63" s="4">
        <f>ROUND(I63-SUM(J63:O63),0)</f>
        <v>656802</v>
      </c>
      <c r="Q63" s="35"/>
      <c r="R63" s="29">
        <v>235639</v>
      </c>
      <c r="S63" s="41" t="s">
        <v>62</v>
      </c>
      <c r="T63" s="29"/>
    </row>
    <row r="64" spans="1:22" ht="24.9" customHeight="1" x14ac:dyDescent="0.3">
      <c r="A64" s="14">
        <v>59474</v>
      </c>
      <c r="B64" s="10" t="s">
        <v>9</v>
      </c>
      <c r="C64" s="40"/>
      <c r="D64" s="130">
        <v>11</v>
      </c>
      <c r="E64" s="1">
        <f>O63</f>
        <v>201564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56">
        <f>E64</f>
        <v>201564</v>
      </c>
      <c r="Q64" s="35"/>
      <c r="R64" s="60">
        <v>98000</v>
      </c>
      <c r="S64" s="45" t="s">
        <v>74</v>
      </c>
      <c r="T64" s="29"/>
      <c r="V64" s="63">
        <v>3</v>
      </c>
    </row>
    <row r="65" spans="1:22" ht="24.9" customHeight="1" x14ac:dyDescent="0.3">
      <c r="A65" s="14">
        <v>59474</v>
      </c>
      <c r="B65" s="17"/>
      <c r="C65" s="40"/>
      <c r="D65" s="130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2"/>
      <c r="Q65" s="35"/>
      <c r="R65" s="60">
        <v>98000</v>
      </c>
      <c r="S65" s="45" t="s">
        <v>80</v>
      </c>
      <c r="T65" s="29"/>
    </row>
    <row r="66" spans="1:22" ht="24.9" customHeight="1" x14ac:dyDescent="0.3">
      <c r="A66" s="14">
        <v>59474</v>
      </c>
      <c r="B66" s="17"/>
      <c r="C66" s="40"/>
      <c r="D66" s="130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2"/>
      <c r="Q66" s="35"/>
      <c r="R66" s="60">
        <v>250000</v>
      </c>
      <c r="S66" s="45" t="s">
        <v>96</v>
      </c>
      <c r="T66" s="29"/>
    </row>
    <row r="67" spans="1:22" ht="24.9" customHeight="1" thickBot="1" x14ac:dyDescent="0.35">
      <c r="A67" s="14">
        <v>59474</v>
      </c>
      <c r="B67" s="17"/>
      <c r="C67" s="40"/>
      <c r="D67" s="130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2"/>
      <c r="Q67" s="35"/>
      <c r="R67" s="60">
        <v>250000</v>
      </c>
      <c r="S67" s="45" t="s">
        <v>101</v>
      </c>
      <c r="T67" s="29"/>
    </row>
    <row r="68" spans="1:22" ht="24.9" customHeight="1" x14ac:dyDescent="0.3">
      <c r="A68" s="46"/>
      <c r="B68" s="47"/>
      <c r="C68" s="48"/>
      <c r="D68" s="124"/>
      <c r="E68" s="47"/>
      <c r="F68" s="47"/>
      <c r="G68" s="47"/>
      <c r="H68" s="49"/>
      <c r="I68" s="47"/>
      <c r="J68" s="49"/>
      <c r="K68" s="49"/>
      <c r="L68" s="49"/>
      <c r="M68" s="49"/>
      <c r="N68" s="49"/>
      <c r="O68" s="49"/>
      <c r="P68" s="50"/>
      <c r="Q68" s="52">
        <f>A69</f>
        <v>59856</v>
      </c>
      <c r="R68" s="51"/>
      <c r="S68" s="50"/>
      <c r="T68" s="51"/>
    </row>
    <row r="69" spans="1:22" ht="24.9" customHeight="1" x14ac:dyDescent="0.3">
      <c r="A69" s="14">
        <v>59856</v>
      </c>
      <c r="B69" s="10" t="s">
        <v>33</v>
      </c>
      <c r="C69" s="12">
        <v>45217</v>
      </c>
      <c r="D69" s="127">
        <v>11</v>
      </c>
      <c r="E69" s="3">
        <v>1286305</v>
      </c>
      <c r="F69" s="3">
        <f>494*20</f>
        <v>9880</v>
      </c>
      <c r="G69" s="3">
        <f>E69-F69</f>
        <v>1276425</v>
      </c>
      <c r="H69" s="3">
        <f>G69*18%</f>
        <v>229756.5</v>
      </c>
      <c r="I69" s="3">
        <f>ROUND(G69+H69,)</f>
        <v>1506182</v>
      </c>
      <c r="J69" s="3">
        <f>G69*$J$6</f>
        <v>25528.5</v>
      </c>
      <c r="K69" s="3">
        <f>G69*$K$6</f>
        <v>63821.25</v>
      </c>
      <c r="L69" s="3">
        <f>G69*5%</f>
        <v>63821.25</v>
      </c>
      <c r="M69" s="3">
        <f>G69*$M$6</f>
        <v>127642.5</v>
      </c>
      <c r="N69" s="3">
        <v>423320</v>
      </c>
      <c r="O69" s="54">
        <f>H69</f>
        <v>229756.5</v>
      </c>
      <c r="P69" s="4">
        <f>ROUND(I69-SUM(J69:O69),0)</f>
        <v>572292</v>
      </c>
      <c r="Q69" s="36"/>
      <c r="R69" s="28">
        <v>572291</v>
      </c>
      <c r="S69" s="42" t="s">
        <v>42</v>
      </c>
      <c r="T69" s="28">
        <f>SUM(P69:P77,0)-SUM(R69:R77,0)</f>
        <v>14797.820000000065</v>
      </c>
      <c r="U69" s="77" t="s">
        <v>55</v>
      </c>
    </row>
    <row r="70" spans="1:22" ht="24.9" customHeight="1" x14ac:dyDescent="0.3">
      <c r="A70" s="14">
        <v>59856</v>
      </c>
      <c r="B70" s="3" t="s">
        <v>29</v>
      </c>
      <c r="C70" s="9">
        <v>45251</v>
      </c>
      <c r="D70" s="127">
        <v>11</v>
      </c>
      <c r="E70" s="3">
        <v>229757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55">
        <f>E70</f>
        <v>229757</v>
      </c>
      <c r="Q70" s="36"/>
      <c r="R70" s="59">
        <v>65000</v>
      </c>
      <c r="S70" s="42" t="s">
        <v>43</v>
      </c>
      <c r="T70" s="59"/>
    </row>
    <row r="71" spans="1:22" ht="24.9" customHeight="1" x14ac:dyDescent="0.2">
      <c r="A71" s="14">
        <v>59856</v>
      </c>
      <c r="B71" s="10" t="s">
        <v>33</v>
      </c>
      <c r="C71" s="12">
        <v>45328</v>
      </c>
      <c r="D71" s="127">
        <v>17</v>
      </c>
      <c r="E71" s="3">
        <v>381422</v>
      </c>
      <c r="F71" s="3">
        <v>0</v>
      </c>
      <c r="G71" s="3">
        <f>E71-F71</f>
        <v>381422</v>
      </c>
      <c r="H71" s="3">
        <f>G71*18%</f>
        <v>68655.959999999992</v>
      </c>
      <c r="I71" s="3">
        <f>ROUND(G71+H71,)</f>
        <v>450078</v>
      </c>
      <c r="J71" s="3">
        <f>G71*$J$6</f>
        <v>7628.4400000000005</v>
      </c>
      <c r="K71" s="3">
        <f>G71*$K$6</f>
        <v>19071.100000000002</v>
      </c>
      <c r="L71" s="3">
        <f>G71*10%</f>
        <v>38142.200000000004</v>
      </c>
      <c r="M71" s="3">
        <f>G71*10%</f>
        <v>38142.200000000004</v>
      </c>
      <c r="N71" s="3">
        <v>0</v>
      </c>
      <c r="O71" s="54">
        <f>H71</f>
        <v>68655.959999999992</v>
      </c>
      <c r="P71" s="4">
        <f>ROUND(I71-SUM(J71:O71),0)</f>
        <v>278438</v>
      </c>
      <c r="Q71" s="35"/>
      <c r="R71" s="58">
        <v>196000</v>
      </c>
      <c r="S71" s="106" t="s">
        <v>142</v>
      </c>
      <c r="T71" s="58"/>
      <c r="U71" s="57" t="s">
        <v>58</v>
      </c>
    </row>
    <row r="72" spans="1:22" ht="24.9" customHeight="1" x14ac:dyDescent="0.3">
      <c r="A72" s="14">
        <v>59856</v>
      </c>
      <c r="B72" s="10" t="s">
        <v>9</v>
      </c>
      <c r="C72" s="12"/>
      <c r="D72" s="127">
        <v>17</v>
      </c>
      <c r="E72" s="3">
        <f>O71</f>
        <v>68655.959999999992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55">
        <f>E72</f>
        <v>68655.959999999992</v>
      </c>
      <c r="Q72" s="35"/>
      <c r="R72" s="29">
        <v>68656</v>
      </c>
      <c r="S72" s="43" t="s">
        <v>63</v>
      </c>
      <c r="T72" s="29"/>
    </row>
    <row r="73" spans="1:22" ht="24.9" customHeight="1" x14ac:dyDescent="0.3">
      <c r="A73" s="14">
        <v>59856</v>
      </c>
      <c r="B73" s="10" t="s">
        <v>33</v>
      </c>
      <c r="C73" s="12">
        <v>45474</v>
      </c>
      <c r="D73" s="127">
        <v>2</v>
      </c>
      <c r="E73" s="3">
        <v>115500</v>
      </c>
      <c r="F73" s="3">
        <v>0</v>
      </c>
      <c r="G73" s="3">
        <f>E73-F73</f>
        <v>115500</v>
      </c>
      <c r="H73" s="3">
        <f>G73*18%</f>
        <v>20790</v>
      </c>
      <c r="I73" s="3">
        <f>ROUND(G73+H73,)</f>
        <v>136290</v>
      </c>
      <c r="J73" s="3">
        <f>G73*$J$6</f>
        <v>2310</v>
      </c>
      <c r="K73" s="3">
        <f>G73*$K$6</f>
        <v>5775</v>
      </c>
      <c r="L73" s="3">
        <f>G73*10%</f>
        <v>11550</v>
      </c>
      <c r="M73" s="3">
        <f>G73*10%</f>
        <v>11550</v>
      </c>
      <c r="N73" s="3">
        <v>0</v>
      </c>
      <c r="O73" s="54">
        <f>H73</f>
        <v>20790</v>
      </c>
      <c r="P73" s="4">
        <f>ROUND(I73-SUM(J73:O73),0)</f>
        <v>84315</v>
      </c>
      <c r="Q73" s="35"/>
      <c r="R73" s="29">
        <v>100196</v>
      </c>
      <c r="S73" s="43" t="s">
        <v>66</v>
      </c>
      <c r="T73" s="29"/>
    </row>
    <row r="74" spans="1:22" ht="24.9" customHeight="1" x14ac:dyDescent="0.3">
      <c r="A74" s="14">
        <v>59856</v>
      </c>
      <c r="B74" s="10" t="s">
        <v>9</v>
      </c>
      <c r="C74" s="40"/>
      <c r="D74" s="130">
        <v>2</v>
      </c>
      <c r="E74" s="1">
        <f>O73</f>
        <v>20790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55">
        <f>E74</f>
        <v>20790</v>
      </c>
      <c r="Q74" s="35"/>
      <c r="R74" s="29">
        <v>84315</v>
      </c>
      <c r="S74" s="43" t="s">
        <v>70</v>
      </c>
      <c r="T74" s="29"/>
    </row>
    <row r="75" spans="1:22" ht="24.9" customHeight="1" x14ac:dyDescent="0.3">
      <c r="A75" s="14">
        <v>59856</v>
      </c>
      <c r="B75" s="10" t="s">
        <v>33</v>
      </c>
      <c r="C75" s="40">
        <v>45552</v>
      </c>
      <c r="D75" s="130">
        <v>4</v>
      </c>
      <c r="E75" s="1">
        <v>591377</v>
      </c>
      <c r="F75" s="1">
        <v>59500</v>
      </c>
      <c r="G75" s="3">
        <f>E75-F75</f>
        <v>531877</v>
      </c>
      <c r="H75" s="3">
        <f>G75*18%</f>
        <v>95737.86</v>
      </c>
      <c r="I75" s="3">
        <f>ROUND(G75+H75,)</f>
        <v>627615</v>
      </c>
      <c r="J75" s="3">
        <f>G75*$J$6</f>
        <v>10637.54</v>
      </c>
      <c r="K75" s="3">
        <f>G75*$K$6</f>
        <v>26593.850000000002</v>
      </c>
      <c r="L75" s="3">
        <f>G75*10%</f>
        <v>53187.700000000004</v>
      </c>
      <c r="M75" s="3">
        <f>G75*10%</f>
        <v>53187.700000000004</v>
      </c>
      <c r="N75" s="3">
        <v>0</v>
      </c>
      <c r="O75" s="54">
        <f>H75</f>
        <v>95737.86</v>
      </c>
      <c r="P75" s="4">
        <f>ROUND(I75-SUM(J75:O75),0)</f>
        <v>388270</v>
      </c>
      <c r="Q75" s="35"/>
      <c r="R75" s="60">
        <v>196000</v>
      </c>
      <c r="S75" s="62" t="s">
        <v>73</v>
      </c>
      <c r="T75" s="29"/>
      <c r="V75" s="63">
        <v>4</v>
      </c>
    </row>
    <row r="76" spans="1:22" ht="24.9" customHeight="1" x14ac:dyDescent="0.3">
      <c r="A76" s="14">
        <v>59856</v>
      </c>
      <c r="B76" s="10" t="s">
        <v>9</v>
      </c>
      <c r="C76" s="40"/>
      <c r="D76" s="130">
        <v>4</v>
      </c>
      <c r="E76" s="1">
        <f>O75</f>
        <v>95737.86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55">
        <f>E76</f>
        <v>95737.86</v>
      </c>
      <c r="Q76" s="35"/>
      <c r="R76" s="60">
        <v>196000</v>
      </c>
      <c r="S76" s="62" t="s">
        <v>79</v>
      </c>
      <c r="T76" s="29"/>
    </row>
    <row r="77" spans="1:22" ht="24.9" customHeight="1" thickBot="1" x14ac:dyDescent="0.35">
      <c r="A77" s="14">
        <v>59856</v>
      </c>
      <c r="B77" s="17"/>
      <c r="C77" s="40"/>
      <c r="D77" s="130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2"/>
      <c r="Q77" s="35"/>
      <c r="R77" s="61">
        <v>245000</v>
      </c>
      <c r="S77" s="62" t="s">
        <v>108</v>
      </c>
      <c r="T77" s="29"/>
    </row>
    <row r="78" spans="1:22" ht="24.9" customHeight="1" thickBot="1" x14ac:dyDescent="0.35">
      <c r="A78" s="46">
        <v>62298</v>
      </c>
      <c r="B78" s="47"/>
      <c r="C78" s="48"/>
      <c r="D78" s="124"/>
      <c r="E78" s="47"/>
      <c r="F78" s="47"/>
      <c r="G78" s="47"/>
      <c r="H78" s="49"/>
      <c r="I78" s="47"/>
      <c r="J78" s="49"/>
      <c r="K78" s="49"/>
      <c r="L78" s="49"/>
      <c r="M78" s="49"/>
      <c r="N78" s="49"/>
      <c r="O78" s="49"/>
      <c r="P78" s="50"/>
      <c r="Q78" s="52">
        <f>A78</f>
        <v>62298</v>
      </c>
      <c r="R78" s="51"/>
      <c r="S78" s="50"/>
      <c r="T78" s="51"/>
    </row>
    <row r="79" spans="1:22" ht="24.9" customHeight="1" thickBot="1" x14ac:dyDescent="0.35">
      <c r="A79" s="46">
        <v>62298</v>
      </c>
      <c r="B79" s="10" t="s">
        <v>120</v>
      </c>
      <c r="C79" s="12">
        <v>45337</v>
      </c>
      <c r="D79" s="127">
        <v>18</v>
      </c>
      <c r="E79" s="3">
        <v>133271</v>
      </c>
      <c r="F79" s="3"/>
      <c r="G79" s="3">
        <f>E79-F79</f>
        <v>133271</v>
      </c>
      <c r="H79" s="3">
        <f>G79*18%</f>
        <v>23988.78</v>
      </c>
      <c r="I79" s="3">
        <f>ROUND(G79+H79,)</f>
        <v>157260</v>
      </c>
      <c r="J79" s="3">
        <f>G79*$J$6</f>
        <v>2665.42</v>
      </c>
      <c r="K79" s="3">
        <f>G79*$K$6</f>
        <v>6663.55</v>
      </c>
      <c r="L79" s="3">
        <f>G79*10%</f>
        <v>13327.1</v>
      </c>
      <c r="M79" s="3">
        <f>G79*10%</f>
        <v>13327.1</v>
      </c>
      <c r="N79" s="3">
        <v>0</v>
      </c>
      <c r="O79" s="54">
        <f>H79</f>
        <v>23988.78</v>
      </c>
      <c r="P79" s="4">
        <f>ROUND(I79-SUM(J79:O79),0)</f>
        <v>97288</v>
      </c>
      <c r="Q79" s="35"/>
      <c r="R79" s="29">
        <v>98000</v>
      </c>
      <c r="S79" s="43" t="s">
        <v>67</v>
      </c>
      <c r="T79" s="29">
        <f>SUM(P79:P81,0)-SUM(R79:R81,0)</f>
        <v>-74723.22</v>
      </c>
    </row>
    <row r="80" spans="1:22" ht="24.9" customHeight="1" thickBot="1" x14ac:dyDescent="0.35">
      <c r="A80" s="46">
        <v>62298</v>
      </c>
      <c r="B80" s="10" t="s">
        <v>9</v>
      </c>
      <c r="C80" s="12"/>
      <c r="D80" s="127">
        <v>18</v>
      </c>
      <c r="E80" s="3">
        <f>O79</f>
        <v>23988.78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55">
        <f>E80</f>
        <v>23988.78</v>
      </c>
      <c r="Q80" s="35"/>
      <c r="R80" s="60">
        <v>98000</v>
      </c>
      <c r="S80" s="62" t="s">
        <v>77</v>
      </c>
      <c r="T80" s="29"/>
      <c r="V80" s="63">
        <v>5</v>
      </c>
    </row>
    <row r="81" spans="1:20" ht="24.9" customHeight="1" thickBot="1" x14ac:dyDescent="0.35">
      <c r="A81" s="46">
        <v>62298</v>
      </c>
      <c r="B81" s="17"/>
      <c r="C81" s="40"/>
      <c r="D81" s="130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2"/>
      <c r="Q81" s="35"/>
      <c r="R81" s="29"/>
      <c r="S81" s="62"/>
      <c r="T81" s="29"/>
    </row>
    <row r="82" spans="1:20" ht="24.9" customHeight="1" thickBot="1" x14ac:dyDescent="0.35">
      <c r="A82" s="46">
        <v>65413</v>
      </c>
      <c r="B82" s="47"/>
      <c r="C82" s="48"/>
      <c r="D82" s="124"/>
      <c r="E82" s="47"/>
      <c r="F82" s="47"/>
      <c r="G82" s="47"/>
      <c r="H82" s="49"/>
      <c r="I82" s="47"/>
      <c r="J82" s="49"/>
      <c r="K82" s="49"/>
      <c r="L82" s="49"/>
      <c r="M82" s="49"/>
      <c r="N82" s="49"/>
      <c r="O82" s="49"/>
      <c r="P82" s="50"/>
      <c r="Q82" s="52">
        <f>A82</f>
        <v>65413</v>
      </c>
      <c r="R82" s="51"/>
      <c r="S82" s="50"/>
      <c r="T82" s="51"/>
    </row>
    <row r="83" spans="1:20" ht="24.9" customHeight="1" thickBot="1" x14ac:dyDescent="0.35">
      <c r="A83" s="46">
        <v>65413</v>
      </c>
      <c r="B83" s="10" t="s">
        <v>121</v>
      </c>
      <c r="C83" s="12">
        <v>45677</v>
      </c>
      <c r="D83" s="127">
        <v>15</v>
      </c>
      <c r="E83" s="3">
        <v>2656469</v>
      </c>
      <c r="F83" s="3">
        <v>103500</v>
      </c>
      <c r="G83" s="3">
        <f>E83-F83</f>
        <v>2552969</v>
      </c>
      <c r="H83" s="3">
        <f>G83*18%</f>
        <v>459534.42</v>
      </c>
      <c r="I83" s="3">
        <f>ROUND(G83+H83,)</f>
        <v>3012503</v>
      </c>
      <c r="J83" s="3">
        <f>G83*$J$6</f>
        <v>51059.380000000005</v>
      </c>
      <c r="K83" s="3">
        <f>G83*$K$6</f>
        <v>127648.45000000001</v>
      </c>
      <c r="L83" s="3">
        <f>G83*10%</f>
        <v>255296.90000000002</v>
      </c>
      <c r="M83" s="3">
        <f>G83*10%</f>
        <v>255296.90000000002</v>
      </c>
      <c r="N83" s="3">
        <v>68233</v>
      </c>
      <c r="O83" s="54">
        <f>H83</f>
        <v>459534.42</v>
      </c>
      <c r="P83" s="4">
        <f>ROUND(I83-SUM(J83:O83),0)</f>
        <v>1795434</v>
      </c>
      <c r="Q83" s="35"/>
      <c r="R83" s="29">
        <v>588000</v>
      </c>
      <c r="S83" s="43" t="s">
        <v>72</v>
      </c>
      <c r="T83" s="29">
        <f>SUM(P83:P90,0)-SUM(R83:R90,0)</f>
        <v>24968.419999999925</v>
      </c>
    </row>
    <row r="84" spans="1:20" ht="24.9" customHeight="1" thickBot="1" x14ac:dyDescent="0.35">
      <c r="A84" s="46">
        <v>65413</v>
      </c>
      <c r="B84" s="10" t="s">
        <v>9</v>
      </c>
      <c r="C84" s="12"/>
      <c r="D84" s="127">
        <v>15</v>
      </c>
      <c r="E84" s="3">
        <f>O83</f>
        <v>459534.42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55">
        <f>E84</f>
        <v>459534.42</v>
      </c>
      <c r="Q84" s="35"/>
      <c r="R84" s="60">
        <v>98000</v>
      </c>
      <c r="S84" s="62" t="s">
        <v>78</v>
      </c>
      <c r="T84" s="29"/>
    </row>
    <row r="85" spans="1:20" ht="24.9" customHeight="1" thickBot="1" x14ac:dyDescent="0.35">
      <c r="A85" s="46">
        <v>65413</v>
      </c>
      <c r="B85" s="17"/>
      <c r="C85" s="40"/>
      <c r="D85" s="130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2"/>
      <c r="Q85" s="35"/>
      <c r="R85" s="60">
        <v>294000</v>
      </c>
      <c r="S85" s="62" t="s">
        <v>97</v>
      </c>
      <c r="T85" s="29"/>
    </row>
    <row r="86" spans="1:20" ht="24.9" customHeight="1" thickBot="1" x14ac:dyDescent="0.35">
      <c r="A86" s="46">
        <v>65413</v>
      </c>
      <c r="B86" s="17"/>
      <c r="C86" s="40"/>
      <c r="D86" s="130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2"/>
      <c r="Q86" s="35"/>
      <c r="R86" s="60">
        <v>350000</v>
      </c>
      <c r="S86" s="62" t="s">
        <v>98</v>
      </c>
      <c r="T86" s="29"/>
    </row>
    <row r="87" spans="1:20" ht="24.9" customHeight="1" thickBot="1" x14ac:dyDescent="0.35">
      <c r="A87" s="46">
        <v>65413</v>
      </c>
      <c r="B87" s="17"/>
      <c r="C87" s="40"/>
      <c r="D87" s="130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2"/>
      <c r="Q87" s="35"/>
      <c r="R87" s="60">
        <v>300000</v>
      </c>
      <c r="S87" s="62" t="s">
        <v>99</v>
      </c>
      <c r="T87" s="29"/>
    </row>
    <row r="88" spans="1:20" ht="24.9" customHeight="1" thickBot="1" x14ac:dyDescent="0.35">
      <c r="A88" s="46">
        <v>65413</v>
      </c>
      <c r="B88" s="17"/>
      <c r="C88" s="40"/>
      <c r="D88" s="130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2"/>
      <c r="Q88" s="35"/>
      <c r="R88" s="60">
        <v>300000</v>
      </c>
      <c r="S88" s="62" t="s">
        <v>100</v>
      </c>
      <c r="T88" s="29"/>
    </row>
    <row r="89" spans="1:20" ht="24.9" customHeight="1" thickBot="1" x14ac:dyDescent="0.35">
      <c r="A89" s="46">
        <v>65413</v>
      </c>
      <c r="B89" s="17"/>
      <c r="C89" s="40"/>
      <c r="D89" s="130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2"/>
      <c r="Q89" s="35"/>
      <c r="R89" s="60">
        <v>100000</v>
      </c>
      <c r="S89" s="62" t="s">
        <v>104</v>
      </c>
      <c r="T89" s="29"/>
    </row>
    <row r="90" spans="1:20" ht="24.9" customHeight="1" thickBot="1" x14ac:dyDescent="0.35">
      <c r="A90" s="46">
        <v>65413</v>
      </c>
      <c r="B90" s="17"/>
      <c r="C90" s="40"/>
      <c r="D90" s="130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2"/>
      <c r="Q90" s="35"/>
      <c r="R90" s="60">
        <v>200000</v>
      </c>
      <c r="S90" s="62" t="s">
        <v>110</v>
      </c>
      <c r="T90" s="29"/>
    </row>
    <row r="91" spans="1:20" ht="24.9" customHeight="1" x14ac:dyDescent="0.3">
      <c r="A91" s="46"/>
      <c r="B91" s="47"/>
      <c r="C91" s="48"/>
      <c r="D91" s="124"/>
      <c r="E91" s="47"/>
      <c r="F91" s="47"/>
      <c r="G91" s="47"/>
      <c r="H91" s="49"/>
      <c r="I91" s="47"/>
      <c r="J91" s="49"/>
      <c r="K91" s="49"/>
      <c r="L91" s="49"/>
      <c r="M91" s="49"/>
      <c r="N91" s="49"/>
      <c r="O91" s="49"/>
      <c r="P91" s="50"/>
      <c r="Q91" s="52">
        <v>65957</v>
      </c>
      <c r="R91" s="51"/>
      <c r="S91" s="50"/>
      <c r="T91" s="51"/>
    </row>
    <row r="92" spans="1:20" ht="24.9" customHeight="1" x14ac:dyDescent="0.3">
      <c r="A92" s="16">
        <v>65957</v>
      </c>
      <c r="B92" s="10" t="s">
        <v>122</v>
      </c>
      <c r="C92" s="12">
        <v>45611</v>
      </c>
      <c r="D92" s="127">
        <v>10</v>
      </c>
      <c r="E92" s="3">
        <v>668200</v>
      </c>
      <c r="F92" s="3">
        <v>0</v>
      </c>
      <c r="G92" s="3">
        <f>E92-F92</f>
        <v>668200</v>
      </c>
      <c r="H92" s="3">
        <f>G92*18%</f>
        <v>120276</v>
      </c>
      <c r="I92" s="3">
        <f>ROUND(G92+H92,)</f>
        <v>788476</v>
      </c>
      <c r="J92" s="3">
        <f>G92*$J$6</f>
        <v>13364</v>
      </c>
      <c r="K92" s="3">
        <f>G92*$K$6</f>
        <v>33410</v>
      </c>
      <c r="L92" s="3">
        <f>G92*10%</f>
        <v>66820</v>
      </c>
      <c r="M92" s="3">
        <f>G92*10%</f>
        <v>66820</v>
      </c>
      <c r="N92" s="3">
        <v>0</v>
      </c>
      <c r="O92" s="54">
        <f>H92</f>
        <v>120276</v>
      </c>
      <c r="P92" s="4">
        <f>ROUND(I92-SUM(J92:O92),0)</f>
        <v>487786</v>
      </c>
      <c r="Q92" s="35"/>
      <c r="R92" s="60">
        <v>196000</v>
      </c>
      <c r="S92" s="62" t="s">
        <v>86</v>
      </c>
      <c r="T92" s="29">
        <f>SUM(P92:P94,0)-SUM(R92:R94,0)</f>
        <v>20062</v>
      </c>
    </row>
    <row r="93" spans="1:20" ht="24.9" customHeight="1" x14ac:dyDescent="0.3">
      <c r="A93" s="16">
        <v>65957</v>
      </c>
      <c r="B93" s="10" t="s">
        <v>9</v>
      </c>
      <c r="C93" s="12"/>
      <c r="D93" s="127">
        <v>10</v>
      </c>
      <c r="E93" s="3">
        <f>O92</f>
        <v>120276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55">
        <f>E93</f>
        <v>120276</v>
      </c>
      <c r="Q93" s="35"/>
      <c r="R93" s="29">
        <v>196000</v>
      </c>
      <c r="S93" s="43" t="s">
        <v>89</v>
      </c>
      <c r="T93" s="29"/>
    </row>
    <row r="94" spans="1:20" ht="24.9" customHeight="1" thickBot="1" x14ac:dyDescent="0.35">
      <c r="A94" s="16">
        <v>65957</v>
      </c>
      <c r="B94" s="10"/>
      <c r="C94" s="12"/>
      <c r="D94" s="127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4"/>
      <c r="Q94" s="35"/>
      <c r="R94" s="29">
        <v>196000</v>
      </c>
      <c r="S94" s="43" t="s">
        <v>90</v>
      </c>
      <c r="T94" s="29"/>
    </row>
    <row r="95" spans="1:20" ht="24.9" customHeight="1" x14ac:dyDescent="0.3">
      <c r="A95" s="46"/>
      <c r="B95" s="47"/>
      <c r="C95" s="48"/>
      <c r="D95" s="124"/>
      <c r="E95" s="47"/>
      <c r="F95" s="47"/>
      <c r="G95" s="47"/>
      <c r="H95" s="49"/>
      <c r="I95" s="47"/>
      <c r="J95" s="49"/>
      <c r="K95" s="49"/>
      <c r="L95" s="49"/>
      <c r="M95" s="49"/>
      <c r="N95" s="49"/>
      <c r="O95" s="49"/>
      <c r="P95" s="50"/>
      <c r="Q95" s="52">
        <v>65958</v>
      </c>
      <c r="R95" s="51"/>
      <c r="S95" s="50"/>
      <c r="T95" s="51"/>
    </row>
    <row r="96" spans="1:20" ht="24.9" customHeight="1" x14ac:dyDescent="0.3">
      <c r="A96" s="16">
        <v>65958</v>
      </c>
      <c r="B96" s="10" t="s">
        <v>123</v>
      </c>
      <c r="C96" s="12">
        <v>45604</v>
      </c>
      <c r="D96" s="127"/>
      <c r="E96" s="3"/>
      <c r="F96" s="3"/>
      <c r="G96" s="3"/>
      <c r="H96" s="3"/>
      <c r="I96" s="3"/>
      <c r="J96" s="3"/>
      <c r="K96" s="3"/>
      <c r="L96" s="3"/>
      <c r="M96" s="3"/>
      <c r="N96" s="3"/>
      <c r="O96" s="85"/>
      <c r="P96" s="4"/>
      <c r="Q96" s="35"/>
      <c r="R96" s="60">
        <v>196000</v>
      </c>
      <c r="S96" s="62" t="s">
        <v>85</v>
      </c>
      <c r="T96" s="29">
        <f>SUM(P96:P97,0)-SUM(R96:R97,0)</f>
        <v>-294000</v>
      </c>
    </row>
    <row r="97" spans="1:20" ht="24.9" customHeight="1" thickBot="1" x14ac:dyDescent="0.35">
      <c r="A97" s="16">
        <v>65958</v>
      </c>
      <c r="B97" s="10"/>
      <c r="C97" s="12"/>
      <c r="D97" s="127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4"/>
      <c r="Q97" s="35"/>
      <c r="R97" s="29">
        <v>98000</v>
      </c>
      <c r="S97" s="43" t="s">
        <v>88</v>
      </c>
      <c r="T97" s="29"/>
    </row>
    <row r="98" spans="1:20" ht="24.9" customHeight="1" x14ac:dyDescent="0.3">
      <c r="A98" s="46"/>
      <c r="B98" s="47"/>
      <c r="C98" s="48"/>
      <c r="D98" s="124"/>
      <c r="E98" s="47"/>
      <c r="F98" s="47"/>
      <c r="G98" s="47"/>
      <c r="H98" s="49"/>
      <c r="I98" s="47"/>
      <c r="J98" s="49"/>
      <c r="K98" s="49"/>
      <c r="L98" s="49"/>
      <c r="M98" s="49"/>
      <c r="N98" s="49"/>
      <c r="O98" s="49"/>
      <c r="P98" s="50"/>
      <c r="Q98" s="52">
        <v>65959</v>
      </c>
      <c r="R98" s="51"/>
      <c r="S98" s="50"/>
      <c r="T98" s="51"/>
    </row>
    <row r="99" spans="1:20" ht="24.9" customHeight="1" x14ac:dyDescent="0.3">
      <c r="A99" s="16">
        <v>65959</v>
      </c>
      <c r="B99" s="10" t="s">
        <v>124</v>
      </c>
      <c r="C99" s="12">
        <v>45611</v>
      </c>
      <c r="D99" s="127">
        <v>12</v>
      </c>
      <c r="E99" s="3">
        <v>1411377</v>
      </c>
      <c r="F99" s="3">
        <v>161000</v>
      </c>
      <c r="G99" s="3">
        <f>E99-F99</f>
        <v>1250377</v>
      </c>
      <c r="H99" s="3">
        <f>G99*18%</f>
        <v>225067.86</v>
      </c>
      <c r="I99" s="3">
        <f>ROUND(G99+H99,)</f>
        <v>1475445</v>
      </c>
      <c r="J99" s="3">
        <f>G99*$J$6</f>
        <v>25007.54</v>
      </c>
      <c r="K99" s="3">
        <f>G99*$K$6</f>
        <v>62518.850000000006</v>
      </c>
      <c r="L99" s="3">
        <f>G99*10%</f>
        <v>125037.70000000001</v>
      </c>
      <c r="M99" s="3">
        <f>G99*10%</f>
        <v>125037.70000000001</v>
      </c>
      <c r="N99" s="3">
        <v>0</v>
      </c>
      <c r="O99" s="54">
        <f>H99</f>
        <v>225067.86</v>
      </c>
      <c r="P99" s="4">
        <f>ROUND(I99-SUM(J99:O99),0)</f>
        <v>912775</v>
      </c>
      <c r="Q99" s="35"/>
      <c r="R99" s="60">
        <v>196000</v>
      </c>
      <c r="S99" s="62" t="s">
        <v>84</v>
      </c>
      <c r="T99" s="29">
        <f>SUM(P99:P104,0)-SUM(R99:R104,0)</f>
        <v>104842.85999999987</v>
      </c>
    </row>
    <row r="100" spans="1:20" ht="24.9" customHeight="1" x14ac:dyDescent="0.3">
      <c r="A100" s="16">
        <v>65959</v>
      </c>
      <c r="B100" s="10" t="s">
        <v>9</v>
      </c>
      <c r="C100" s="12"/>
      <c r="D100" s="127">
        <v>12</v>
      </c>
      <c r="E100" s="3">
        <f>O99</f>
        <v>225067.86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55">
        <f>E100</f>
        <v>225067.86</v>
      </c>
      <c r="Q100" s="35"/>
      <c r="R100" s="29">
        <v>196000</v>
      </c>
      <c r="S100" s="43" t="s">
        <v>87</v>
      </c>
      <c r="T100" s="29"/>
    </row>
    <row r="101" spans="1:20" ht="24.9" customHeight="1" x14ac:dyDescent="0.3">
      <c r="A101" s="16">
        <v>65959</v>
      </c>
      <c r="B101" s="17"/>
      <c r="C101" s="40"/>
      <c r="D101" s="130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2"/>
      <c r="Q101" s="35"/>
      <c r="R101" s="29">
        <v>98000</v>
      </c>
      <c r="S101" s="43" t="s">
        <v>91</v>
      </c>
      <c r="T101" s="29"/>
    </row>
    <row r="102" spans="1:20" ht="24.9" customHeight="1" x14ac:dyDescent="0.3">
      <c r="A102" s="16">
        <v>65959</v>
      </c>
      <c r="B102" s="17"/>
      <c r="C102" s="40"/>
      <c r="D102" s="130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2"/>
      <c r="Q102" s="35"/>
      <c r="R102" s="29">
        <v>343000</v>
      </c>
      <c r="S102" s="43" t="s">
        <v>92</v>
      </c>
      <c r="T102" s="29"/>
    </row>
    <row r="103" spans="1:20" ht="24.9" customHeight="1" x14ac:dyDescent="0.3">
      <c r="A103" s="16">
        <v>65959</v>
      </c>
      <c r="B103" s="17"/>
      <c r="C103" s="40"/>
      <c r="D103" s="130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2"/>
      <c r="Q103" s="35"/>
      <c r="R103" s="29">
        <v>100000</v>
      </c>
      <c r="S103" s="62" t="s">
        <v>107</v>
      </c>
      <c r="T103" s="29"/>
    </row>
    <row r="104" spans="1:20" ht="24.9" customHeight="1" thickBot="1" x14ac:dyDescent="0.35">
      <c r="A104" s="16">
        <v>65959</v>
      </c>
      <c r="B104" s="17"/>
      <c r="C104" s="40"/>
      <c r="D104" s="130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2"/>
      <c r="Q104" s="35"/>
      <c r="R104" s="29">
        <v>100000</v>
      </c>
      <c r="S104" s="62" t="s">
        <v>109</v>
      </c>
      <c r="T104" s="29"/>
    </row>
    <row r="105" spans="1:20" ht="24.9" customHeight="1" x14ac:dyDescent="0.3">
      <c r="A105" s="46"/>
      <c r="B105" s="47"/>
      <c r="C105" s="48"/>
      <c r="D105" s="124"/>
      <c r="E105" s="47"/>
      <c r="F105" s="47"/>
      <c r="G105" s="47"/>
      <c r="H105" s="49"/>
      <c r="I105" s="47"/>
      <c r="J105" s="49"/>
      <c r="K105" s="49"/>
      <c r="L105" s="49"/>
      <c r="M105" s="49"/>
      <c r="N105" s="49"/>
      <c r="O105" s="49"/>
      <c r="P105" s="50"/>
      <c r="Q105" s="52">
        <v>65960</v>
      </c>
      <c r="R105" s="51"/>
      <c r="S105" s="50"/>
      <c r="T105" s="51"/>
    </row>
    <row r="106" spans="1:20" ht="24.9" customHeight="1" x14ac:dyDescent="0.3">
      <c r="A106" s="16">
        <v>65960</v>
      </c>
      <c r="B106" s="10" t="s">
        <v>125</v>
      </c>
      <c r="C106" s="12">
        <v>45604</v>
      </c>
      <c r="D106" s="127">
        <v>9</v>
      </c>
      <c r="E106" s="3">
        <v>464178</v>
      </c>
      <c r="F106" s="3">
        <v>52500</v>
      </c>
      <c r="G106" s="3">
        <f>E106-F106</f>
        <v>411678</v>
      </c>
      <c r="H106" s="3">
        <f>G106*18%</f>
        <v>74102.039999999994</v>
      </c>
      <c r="I106" s="3">
        <f>ROUND(G106+H106,)</f>
        <v>485780</v>
      </c>
      <c r="J106" s="3">
        <f>G106*$J$6</f>
        <v>8233.56</v>
      </c>
      <c r="K106" s="3">
        <f>G106*$K$6</f>
        <v>20583.900000000001</v>
      </c>
      <c r="L106" s="3">
        <f>G106*10%</f>
        <v>41167.800000000003</v>
      </c>
      <c r="M106" s="3">
        <f>G106*10%</f>
        <v>41167.800000000003</v>
      </c>
      <c r="N106" s="3">
        <v>0</v>
      </c>
      <c r="O106" s="54">
        <f>H106</f>
        <v>74102.039999999994</v>
      </c>
      <c r="P106" s="4">
        <f>ROUND(I106-SUM(J106:O106),0)</f>
        <v>300525</v>
      </c>
      <c r="Q106" s="35"/>
      <c r="R106" s="60">
        <v>294000</v>
      </c>
      <c r="S106" s="62" t="s">
        <v>83</v>
      </c>
      <c r="T106" s="29">
        <f>SUM(P106:P108,0)-SUM(R106:R108,0)</f>
        <v>30627.039999999979</v>
      </c>
    </row>
    <row r="107" spans="1:20" ht="24.9" customHeight="1" x14ac:dyDescent="0.3">
      <c r="A107" s="16">
        <v>65960</v>
      </c>
      <c r="B107" s="10" t="s">
        <v>9</v>
      </c>
      <c r="C107" s="12"/>
      <c r="D107" s="127">
        <v>9</v>
      </c>
      <c r="E107" s="3">
        <f>O106</f>
        <v>74102.039999999994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55">
        <f>E107</f>
        <v>74102.039999999994</v>
      </c>
      <c r="Q107" s="35"/>
      <c r="R107" s="29">
        <v>50000</v>
      </c>
      <c r="S107" s="62" t="s">
        <v>105</v>
      </c>
      <c r="T107" s="29"/>
    </row>
    <row r="108" spans="1:20" ht="24.9" customHeight="1" thickBot="1" x14ac:dyDescent="0.35">
      <c r="A108" s="16">
        <v>65960</v>
      </c>
      <c r="B108" s="17"/>
      <c r="C108" s="40"/>
      <c r="D108" s="130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2"/>
      <c r="Q108" s="35"/>
      <c r="R108" s="29"/>
      <c r="S108" s="43"/>
      <c r="T108" s="29"/>
    </row>
    <row r="109" spans="1:20" ht="24.9" customHeight="1" x14ac:dyDescent="0.3">
      <c r="A109" s="46"/>
      <c r="B109" s="47"/>
      <c r="C109" s="48"/>
      <c r="D109" s="124"/>
      <c r="E109" s="47"/>
      <c r="F109" s="47"/>
      <c r="G109" s="47"/>
      <c r="H109" s="49"/>
      <c r="I109" s="47"/>
      <c r="J109" s="49"/>
      <c r="K109" s="49"/>
      <c r="L109" s="49"/>
      <c r="M109" s="49"/>
      <c r="N109" s="49"/>
      <c r="O109" s="49"/>
      <c r="P109" s="50"/>
      <c r="Q109" s="52">
        <f>A110</f>
        <v>66639</v>
      </c>
      <c r="R109" s="51"/>
      <c r="S109" s="50"/>
      <c r="T109" s="51"/>
    </row>
    <row r="110" spans="1:20" ht="24.9" customHeight="1" x14ac:dyDescent="0.3">
      <c r="A110" s="16">
        <v>66639</v>
      </c>
      <c r="B110" s="10" t="s">
        <v>126</v>
      </c>
      <c r="C110" s="12">
        <v>45612</v>
      </c>
      <c r="D110" s="127">
        <v>13</v>
      </c>
      <c r="E110" s="3">
        <v>464277</v>
      </c>
      <c r="F110" s="3">
        <v>70000</v>
      </c>
      <c r="G110" s="3">
        <f>E110-F110</f>
        <v>394277</v>
      </c>
      <c r="H110" s="3">
        <f>G110*18%</f>
        <v>70969.86</v>
      </c>
      <c r="I110" s="3">
        <f>ROUND(G110+H110,)</f>
        <v>465247</v>
      </c>
      <c r="J110" s="3">
        <f>G110*$J$6</f>
        <v>7885.54</v>
      </c>
      <c r="K110" s="3">
        <f>G110*$K$6</f>
        <v>19713.850000000002</v>
      </c>
      <c r="L110" s="3">
        <f>G110*10%</f>
        <v>39427.700000000004</v>
      </c>
      <c r="M110" s="3">
        <f>G110*10%</f>
        <v>39427.700000000004</v>
      </c>
      <c r="N110" s="3">
        <v>0</v>
      </c>
      <c r="O110" s="54">
        <f>H110</f>
        <v>70969.86</v>
      </c>
      <c r="P110" s="4">
        <f>ROUND(I110-SUM(J110:O110),0)</f>
        <v>287822</v>
      </c>
      <c r="Q110" s="37"/>
      <c r="R110" s="60">
        <v>196000</v>
      </c>
      <c r="S110" s="62" t="s">
        <v>95</v>
      </c>
      <c r="T110" s="29">
        <f>SUM(P110:P112,0)-SUM(R110:R112,0)</f>
        <v>15791.859999999986</v>
      </c>
    </row>
    <row r="111" spans="1:20" ht="24.9" customHeight="1" x14ac:dyDescent="0.3">
      <c r="A111" s="16">
        <v>66639</v>
      </c>
      <c r="B111" s="10" t="s">
        <v>9</v>
      </c>
      <c r="C111" s="12"/>
      <c r="D111" s="127">
        <v>13</v>
      </c>
      <c r="E111" s="3">
        <f>O110</f>
        <v>70969.86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55">
        <f>E111</f>
        <v>70969.86</v>
      </c>
      <c r="Q111" s="37"/>
      <c r="R111" s="84">
        <v>147000</v>
      </c>
      <c r="S111" s="62" t="s">
        <v>106</v>
      </c>
      <c r="T111" s="28"/>
    </row>
    <row r="112" spans="1:20" ht="24.9" customHeight="1" thickBot="1" x14ac:dyDescent="0.35">
      <c r="A112" s="16">
        <v>66639</v>
      </c>
      <c r="B112" s="82"/>
      <c r="C112" s="83"/>
      <c r="D112" s="13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86"/>
      <c r="Q112" s="37"/>
      <c r="R112" s="79"/>
      <c r="S112" s="80"/>
      <c r="T112" s="81"/>
    </row>
    <row r="113" spans="1:22" ht="24.9" customHeight="1" x14ac:dyDescent="0.3">
      <c r="A113" s="46"/>
      <c r="B113" s="47"/>
      <c r="C113" s="48"/>
      <c r="D113" s="124"/>
      <c r="E113" s="47"/>
      <c r="F113" s="47"/>
      <c r="G113" s="47"/>
      <c r="H113" s="49"/>
      <c r="I113" s="47"/>
      <c r="J113" s="49"/>
      <c r="K113" s="49"/>
      <c r="L113" s="49"/>
      <c r="M113" s="49"/>
      <c r="N113" s="49"/>
      <c r="O113" s="49"/>
      <c r="P113" s="50"/>
      <c r="Q113" s="52">
        <v>64358</v>
      </c>
      <c r="R113" s="51"/>
      <c r="S113" s="50"/>
      <c r="T113" s="51"/>
    </row>
    <row r="114" spans="1:22" s="77" customFormat="1" ht="24.9" customHeight="1" x14ac:dyDescent="0.3">
      <c r="A114" s="89">
        <v>64358</v>
      </c>
      <c r="B114" s="90" t="s">
        <v>143</v>
      </c>
      <c r="C114" s="91">
        <v>45320</v>
      </c>
      <c r="D114" s="132">
        <v>12</v>
      </c>
      <c r="E114" s="92">
        <v>25320</v>
      </c>
      <c r="F114" s="92">
        <v>0</v>
      </c>
      <c r="G114" s="93">
        <f>E114-F114</f>
        <v>25320</v>
      </c>
      <c r="H114" s="93">
        <f>G114*18%</f>
        <v>4557.5999999999995</v>
      </c>
      <c r="I114" s="93">
        <f>ROUND(G114+H114,)</f>
        <v>29878</v>
      </c>
      <c r="J114" s="93">
        <f>G114*$J$6</f>
        <v>506.40000000000003</v>
      </c>
      <c r="K114" s="93">
        <v>0</v>
      </c>
      <c r="L114" s="93">
        <v>0</v>
      </c>
      <c r="M114" s="93">
        <v>0</v>
      </c>
      <c r="N114" s="93">
        <v>0</v>
      </c>
      <c r="O114" s="85">
        <f>H114</f>
        <v>4557.5999999999995</v>
      </c>
      <c r="P114" s="94">
        <f>ROUND(I114-SUM(J114:O114),0)</f>
        <v>24814</v>
      </c>
      <c r="Q114" s="95"/>
      <c r="R114" s="96">
        <v>4558</v>
      </c>
      <c r="S114" s="97" t="s">
        <v>93</v>
      </c>
      <c r="T114" s="93">
        <f>SUM(P114:P118,0)-SUM(R114:R118,0)</f>
        <v>-0.39999999999417923</v>
      </c>
    </row>
    <row r="115" spans="1:22" s="77" customFormat="1" ht="24.9" customHeight="1" x14ac:dyDescent="0.3">
      <c r="A115" s="89">
        <v>64358</v>
      </c>
      <c r="B115" s="10" t="s">
        <v>9</v>
      </c>
      <c r="C115" s="91"/>
      <c r="D115" s="132">
        <v>12</v>
      </c>
      <c r="E115" s="92">
        <f>O114</f>
        <v>4557.5999999999995</v>
      </c>
      <c r="F115" s="92"/>
      <c r="G115" s="92"/>
      <c r="H115" s="92"/>
      <c r="I115" s="92"/>
      <c r="J115" s="92"/>
      <c r="K115" s="92"/>
      <c r="L115" s="92"/>
      <c r="M115" s="92"/>
      <c r="N115" s="92"/>
      <c r="O115" s="92"/>
      <c r="P115" s="98">
        <f>E115</f>
        <v>4557.5999999999995</v>
      </c>
      <c r="Q115" s="95"/>
      <c r="R115" s="96">
        <v>24814</v>
      </c>
      <c r="S115" s="97" t="s">
        <v>94</v>
      </c>
      <c r="T115" s="93"/>
    </row>
    <row r="116" spans="1:22" s="77" customFormat="1" ht="24.9" customHeight="1" x14ac:dyDescent="0.3">
      <c r="A116" s="89">
        <v>64358</v>
      </c>
      <c r="B116" s="90" t="s">
        <v>143</v>
      </c>
      <c r="C116" s="91">
        <v>45588</v>
      </c>
      <c r="D116" s="132">
        <v>4</v>
      </c>
      <c r="E116" s="92">
        <v>30900</v>
      </c>
      <c r="F116" s="92">
        <v>0</v>
      </c>
      <c r="G116" s="93">
        <f>E116-F116</f>
        <v>30900</v>
      </c>
      <c r="H116" s="93">
        <f>G116*18%</f>
        <v>5562</v>
      </c>
      <c r="I116" s="93">
        <f>ROUND(G116+H116,)</f>
        <v>36462</v>
      </c>
      <c r="J116" s="93">
        <f>G116*$J$6</f>
        <v>618</v>
      </c>
      <c r="K116" s="93">
        <v>0</v>
      </c>
      <c r="L116" s="93">
        <v>0</v>
      </c>
      <c r="M116" s="93">
        <v>0</v>
      </c>
      <c r="N116" s="93">
        <v>0</v>
      </c>
      <c r="O116" s="85">
        <f>H116</f>
        <v>5562</v>
      </c>
      <c r="P116" s="94">
        <f>ROUND(I116-SUM(J116:O116),0)</f>
        <v>30282</v>
      </c>
      <c r="Q116" s="95"/>
      <c r="R116" s="99">
        <v>81664</v>
      </c>
      <c r="S116" s="97" t="s">
        <v>102</v>
      </c>
      <c r="T116" s="99"/>
    </row>
    <row r="117" spans="1:22" s="77" customFormat="1" ht="24.9" customHeight="1" x14ac:dyDescent="0.3">
      <c r="A117" s="89">
        <v>64358</v>
      </c>
      <c r="B117" s="90" t="s">
        <v>143</v>
      </c>
      <c r="C117" s="91">
        <v>45588</v>
      </c>
      <c r="D117" s="132">
        <v>5</v>
      </c>
      <c r="E117" s="92">
        <v>39500</v>
      </c>
      <c r="F117" s="92">
        <v>0</v>
      </c>
      <c r="G117" s="93">
        <f>E117-F117</f>
        <v>39500</v>
      </c>
      <c r="H117" s="93">
        <f>G117*18%</f>
        <v>7110</v>
      </c>
      <c r="I117" s="93">
        <f>ROUND(G117+H117,)</f>
        <v>46610</v>
      </c>
      <c r="J117" s="93">
        <f>G117*$J$6</f>
        <v>790</v>
      </c>
      <c r="K117" s="93">
        <v>0</v>
      </c>
      <c r="L117" s="93">
        <v>0</v>
      </c>
      <c r="M117" s="93">
        <v>0</v>
      </c>
      <c r="N117" s="93">
        <v>0</v>
      </c>
      <c r="O117" s="85">
        <f>H117</f>
        <v>7110</v>
      </c>
      <c r="P117" s="94">
        <f>ROUND(I117-SUM(J117:O117),0)</f>
        <v>38710</v>
      </c>
      <c r="Q117" s="95"/>
      <c r="R117" s="99"/>
      <c r="S117" s="97"/>
      <c r="T117" s="99"/>
    </row>
    <row r="118" spans="1:22" ht="24.9" customHeight="1" thickBot="1" x14ac:dyDescent="0.35">
      <c r="A118" s="78">
        <v>64358</v>
      </c>
      <c r="B118" s="10" t="s">
        <v>9</v>
      </c>
      <c r="C118" s="83"/>
      <c r="D118" s="131" t="s">
        <v>103</v>
      </c>
      <c r="E118" s="21">
        <f>O117+O116</f>
        <v>12672</v>
      </c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86">
        <f>E118</f>
        <v>12672</v>
      </c>
      <c r="Q118" s="37"/>
      <c r="R118" s="30"/>
      <c r="S118" s="62"/>
      <c r="T118" s="30"/>
    </row>
    <row r="119" spans="1:22" ht="24.9" customHeight="1" x14ac:dyDescent="0.3">
      <c r="A119" s="22"/>
      <c r="B119" s="23"/>
      <c r="C119" s="24"/>
      <c r="D119" s="133"/>
      <c r="E119" s="23"/>
      <c r="F119" s="23"/>
      <c r="G119" s="23"/>
      <c r="H119" s="23"/>
      <c r="I119" s="23"/>
      <c r="J119" s="31">
        <f t="shared" ref="J119:O119" si="6">SUM(J8:J118)</f>
        <v>403712.99999999994</v>
      </c>
      <c r="K119" s="31">
        <f t="shared" si="6"/>
        <v>1004499.4999999999</v>
      </c>
      <c r="L119" s="31">
        <f t="shared" si="6"/>
        <v>1593312.5000000002</v>
      </c>
      <c r="M119" s="31">
        <f t="shared" si="6"/>
        <v>1803581.3</v>
      </c>
      <c r="N119" s="31">
        <f>SUM(N8:N118)</f>
        <v>1369648</v>
      </c>
      <c r="O119" s="31">
        <f t="shared" si="6"/>
        <v>3633424.9199999995</v>
      </c>
      <c r="P119" s="31">
        <f>SUM(P8:P118)</f>
        <v>17644356.949999999</v>
      </c>
      <c r="Q119" s="38"/>
      <c r="R119" s="31">
        <f>SUM(R8:R118)</f>
        <v>18078982</v>
      </c>
      <c r="S119" s="25"/>
      <c r="T119" s="31"/>
    </row>
    <row r="120" spans="1:22" ht="24.9" customHeight="1" thickBot="1" x14ac:dyDescent="0.35">
      <c r="A120" s="6"/>
      <c r="B120" s="5"/>
      <c r="C120" s="15"/>
      <c r="D120" s="123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7"/>
      <c r="Q120" s="39"/>
      <c r="R120" s="32">
        <f>P119-R119</f>
        <v>-434625.05000000075</v>
      </c>
      <c r="S120" s="7"/>
      <c r="T120" s="32">
        <f>SUM(T7:T118)</f>
        <v>-434625.05000000016</v>
      </c>
      <c r="V120" s="74"/>
    </row>
    <row r="122" spans="1:22" ht="24.9" customHeight="1" thickBot="1" x14ac:dyDescent="0.35"/>
    <row r="123" spans="1:22" ht="24.9" customHeight="1" thickBot="1" x14ac:dyDescent="0.35">
      <c r="H123" s="107" t="s">
        <v>3</v>
      </c>
      <c r="I123" s="108"/>
      <c r="J123" s="108"/>
      <c r="K123" s="109"/>
      <c r="R123" s="74">
        <f>R120+[1]Sheet1!$R$24</f>
        <v>-302530.27000000095</v>
      </c>
    </row>
    <row r="124" spans="1:22" ht="24.9" customHeight="1" x14ac:dyDescent="0.3">
      <c r="H124" s="114">
        <v>45794</v>
      </c>
      <c r="I124" s="108"/>
      <c r="J124" s="108"/>
      <c r="K124" s="109"/>
    </row>
    <row r="125" spans="1:22" ht="24.9" customHeight="1" x14ac:dyDescent="0.3">
      <c r="A125" s="73"/>
      <c r="B125" s="73"/>
      <c r="H125" s="115" t="s">
        <v>48</v>
      </c>
      <c r="I125" s="116"/>
      <c r="J125" s="117">
        <f>K119+L119+M119</f>
        <v>4401393.3</v>
      </c>
      <c r="K125" s="118"/>
    </row>
    <row r="126" spans="1:22" ht="24.9" customHeight="1" x14ac:dyDescent="0.3">
      <c r="A126" s="73"/>
      <c r="B126" s="73"/>
      <c r="H126" s="115" t="s">
        <v>65</v>
      </c>
      <c r="I126" s="116"/>
      <c r="J126" s="75"/>
      <c r="K126" s="76">
        <f>N119</f>
        <v>1369648</v>
      </c>
    </row>
    <row r="127" spans="1:22" ht="24.9" customHeight="1" x14ac:dyDescent="0.3">
      <c r="A127" s="73"/>
      <c r="B127" s="73"/>
      <c r="H127" s="115" t="s">
        <v>49</v>
      </c>
      <c r="I127" s="116"/>
      <c r="J127" s="117">
        <f>R120</f>
        <v>-434625.05000000075</v>
      </c>
      <c r="K127" s="118"/>
    </row>
    <row r="128" spans="1:22" ht="24.9" customHeight="1" thickBot="1" x14ac:dyDescent="0.35">
      <c r="A128" s="73"/>
      <c r="B128" s="73"/>
      <c r="H128" s="110" t="s">
        <v>59</v>
      </c>
      <c r="I128" s="111"/>
      <c r="J128" s="112">
        <f>O119-P80-P76-P74-P72-P70-P62-P60-P58-P55-P53-P51-P48-P47-P42-P37-P35-P33-P26-P24-P22-P21-P13-P11-P10-P111-P107-P100-P93-P64-P84-P115-P118</f>
        <v>1.479999999901338</v>
      </c>
      <c r="K128" s="113"/>
    </row>
    <row r="129" spans="1:9" ht="24.9" customHeight="1" x14ac:dyDescent="0.3">
      <c r="A129" s="73"/>
      <c r="B129" s="73"/>
      <c r="H129" s="63"/>
      <c r="I129" s="63"/>
    </row>
    <row r="130" spans="1:9" ht="24.9" customHeight="1" x14ac:dyDescent="0.3">
      <c r="A130" s="73"/>
      <c r="B130" s="73"/>
      <c r="H130" s="63"/>
      <c r="I130" s="63"/>
    </row>
    <row r="131" spans="1:9" ht="24.9" customHeight="1" x14ac:dyDescent="0.3">
      <c r="A131" s="73"/>
      <c r="B131" s="73"/>
      <c r="H131" s="63"/>
      <c r="I131" s="63"/>
    </row>
    <row r="132" spans="1:9" ht="24.9" customHeight="1" x14ac:dyDescent="0.3">
      <c r="H132" s="63"/>
      <c r="I132" s="63"/>
    </row>
    <row r="133" spans="1:9" ht="24.9" customHeight="1" x14ac:dyDescent="0.3">
      <c r="H133" s="63"/>
      <c r="I133" s="63"/>
    </row>
    <row r="134" spans="1:9" ht="24.9" customHeight="1" x14ac:dyDescent="0.3">
      <c r="H134" s="63"/>
      <c r="I134" s="63"/>
    </row>
    <row r="135" spans="1:9" ht="24.9" customHeight="1" x14ac:dyDescent="0.3">
      <c r="H135" s="63"/>
      <c r="I135" s="63"/>
    </row>
    <row r="136" spans="1:9" ht="24.9" customHeight="1" x14ac:dyDescent="0.3">
      <c r="H136" s="63"/>
      <c r="I136" s="63"/>
    </row>
    <row r="137" spans="1:9" ht="24.9" customHeight="1" x14ac:dyDescent="0.3">
      <c r="H137" s="63"/>
      <c r="I137" s="63"/>
    </row>
    <row r="138" spans="1:9" ht="24.9" customHeight="1" x14ac:dyDescent="0.3">
      <c r="H138" s="63"/>
      <c r="I138" s="63"/>
    </row>
    <row r="139" spans="1:9" ht="24.9" customHeight="1" x14ac:dyDescent="0.3">
      <c r="H139" s="63"/>
      <c r="I139" s="63"/>
    </row>
    <row r="140" spans="1:9" ht="24.9" customHeight="1" x14ac:dyDescent="0.3">
      <c r="H140" s="63"/>
      <c r="I140" s="63"/>
    </row>
    <row r="141" spans="1:9" ht="24.9" customHeight="1" x14ac:dyDescent="0.3">
      <c r="H141" s="63"/>
      <c r="I141" s="63"/>
    </row>
    <row r="142" spans="1:9" ht="24.9" customHeight="1" x14ac:dyDescent="0.3">
      <c r="H142" s="63"/>
      <c r="I142" s="63"/>
    </row>
    <row r="143" spans="1:9" ht="24.9" customHeight="1" x14ac:dyDescent="0.3">
      <c r="H143" s="63"/>
      <c r="I143" s="63"/>
    </row>
    <row r="144" spans="1:9" ht="24.9" customHeight="1" x14ac:dyDescent="0.3">
      <c r="H144" s="63"/>
      <c r="I144" s="63"/>
    </row>
  </sheetData>
  <mergeCells count="9">
    <mergeCell ref="H123:K123"/>
    <mergeCell ref="H128:I128"/>
    <mergeCell ref="J128:K128"/>
    <mergeCell ref="H124:K124"/>
    <mergeCell ref="H125:I125"/>
    <mergeCell ref="J125:K125"/>
    <mergeCell ref="H127:I127"/>
    <mergeCell ref="J127:K127"/>
    <mergeCell ref="H126:I126"/>
  </mergeCells>
  <conditionalFormatting sqref="S1:S70 S72:S1048576 U71">
    <cfRule type="duplicateValues" dxfId="0" priority="1"/>
  </conditionalFormatting>
  <pageMargins left="0" right="0" top="0.74803149606299213" bottom="0.74803149606299213" header="0.31496062992125984" footer="0.31496062992125984"/>
  <pageSetup scale="36" fitToHeight="0" orientation="landscape" r:id="rId1"/>
  <ignoredErrors>
    <ignoredError sqref="P5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2024-09-16T09:57:00Z</cp:lastPrinted>
  <dcterms:created xsi:type="dcterms:W3CDTF">2022-06-10T14:11:52Z</dcterms:created>
  <dcterms:modified xsi:type="dcterms:W3CDTF">2025-06-26T07:20:22Z</dcterms:modified>
</cp:coreProperties>
</file>