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tiksha\Skyline Air Conditioning Engineers P Ltd\"/>
    </mc:Choice>
  </mc:AlternateContent>
  <xr:revisionPtr revIDLastSave="0" documentId="13_ncr:1_{86381E0B-7121-4322-9903-9E39DF6D5B93}" xr6:coauthVersionLast="47" xr6:coauthVersionMax="47" xr10:uidLastSave="{00000000-0000-0000-0000-000000000000}"/>
  <bookViews>
    <workbookView xWindow="-96" yWindow="0" windowWidth="11712" windowHeight="12336" activeTab="4" xr2:uid="{00000000-000D-0000-FFFF-FFFF00000000}"/>
  </bookViews>
  <sheets>
    <sheet name="Civil" sheetId="1" r:id="rId1"/>
    <sheet name="Sheet1" sheetId="5" r:id="rId2"/>
    <sheet name="Sheet3" sheetId="3" r:id="rId3"/>
    <sheet name="EMI" sheetId="4" r:id="rId4"/>
    <sheet name="Civil (2)" sheetId="6" r:id="rId5"/>
  </sheets>
  <definedNames>
    <definedName name="_xlnm.Print_Area" localSheetId="4">'Civil (2)'!$A$1:$X$45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3" i="6" l="1"/>
  <c r="P14" i="6"/>
  <c r="P12" i="6"/>
  <c r="O37" i="6" l="1"/>
  <c r="R35" i="6"/>
  <c r="U34" i="6"/>
  <c r="V34" i="6" s="1"/>
  <c r="U33" i="6"/>
  <c r="V33" i="6" s="1"/>
  <c r="G33" i="6"/>
  <c r="K33" i="6" s="1"/>
  <c r="U32" i="6"/>
  <c r="V32" i="6" s="1"/>
  <c r="G32" i="6"/>
  <c r="H32" i="6" s="1"/>
  <c r="Q31" i="6"/>
  <c r="R30" i="6"/>
  <c r="G29" i="6"/>
  <c r="U28" i="6"/>
  <c r="V28" i="6" s="1"/>
  <c r="G28" i="6"/>
  <c r="K28" i="6" s="1"/>
  <c r="U27" i="6"/>
  <c r="V27" i="6" s="1"/>
  <c r="E27" i="6"/>
  <c r="P27" i="6" s="1"/>
  <c r="V26" i="6"/>
  <c r="G26" i="6"/>
  <c r="P26" i="6" s="1"/>
  <c r="Q25" i="6"/>
  <c r="U24" i="6"/>
  <c r="V24" i="6" s="1"/>
  <c r="U23" i="6"/>
  <c r="V23" i="6" s="1"/>
  <c r="R23" i="6"/>
  <c r="G23" i="6"/>
  <c r="M23" i="6" s="1"/>
  <c r="U22" i="6"/>
  <c r="V22" i="6" s="1"/>
  <c r="G22" i="6"/>
  <c r="L22" i="6" s="1"/>
  <c r="U21" i="6"/>
  <c r="V21" i="6" s="1"/>
  <c r="G21" i="6"/>
  <c r="J21" i="6" s="1"/>
  <c r="U20" i="6"/>
  <c r="V20" i="6" s="1"/>
  <c r="E20" i="6"/>
  <c r="P20" i="6" s="1"/>
  <c r="U19" i="6"/>
  <c r="V19" i="6" s="1"/>
  <c r="Q18" i="6"/>
  <c r="G16" i="6"/>
  <c r="M16" i="6" s="1"/>
  <c r="G15" i="6"/>
  <c r="U13" i="6"/>
  <c r="V13" i="6" s="1"/>
  <c r="U12" i="6"/>
  <c r="V12" i="6" s="1"/>
  <c r="R12" i="6"/>
  <c r="U11" i="6"/>
  <c r="V11" i="6" s="1"/>
  <c r="V10" i="6"/>
  <c r="V9" i="6"/>
  <c r="U8" i="6"/>
  <c r="V8" i="6" s="1"/>
  <c r="Q7" i="6"/>
  <c r="K15" i="6" l="1"/>
  <c r="G37" i="6"/>
  <c r="J15" i="6"/>
  <c r="H15" i="6"/>
  <c r="H28" i="6"/>
  <c r="I28" i="6" s="1"/>
  <c r="H26" i="6"/>
  <c r="J28" i="6"/>
  <c r="P28" i="6" s="1"/>
  <c r="H33" i="6"/>
  <c r="I33" i="6" s="1"/>
  <c r="J16" i="6"/>
  <c r="J32" i="6"/>
  <c r="J33" i="6"/>
  <c r="P33" i="6" s="1"/>
  <c r="V37" i="6"/>
  <c r="N32" i="6"/>
  <c r="I32" i="6"/>
  <c r="K21" i="6"/>
  <c r="M22" i="6"/>
  <c r="J23" i="6"/>
  <c r="K29" i="6"/>
  <c r="K23" i="6"/>
  <c r="H29" i="6"/>
  <c r="N29" i="6" s="1"/>
  <c r="M29" i="6"/>
  <c r="K22" i="6"/>
  <c r="H23" i="6"/>
  <c r="N23" i="6" s="1"/>
  <c r="L23" i="6"/>
  <c r="K32" i="6"/>
  <c r="H21" i="6"/>
  <c r="N21" i="6" s="1"/>
  <c r="L21" i="6"/>
  <c r="J22" i="6"/>
  <c r="K16" i="6"/>
  <c r="H16" i="6"/>
  <c r="H22" i="6"/>
  <c r="N22" i="6" s="1"/>
  <c r="J29" i="6"/>
  <c r="I15" i="6" l="1"/>
  <c r="H37" i="6"/>
  <c r="J37" i="6"/>
  <c r="I23" i="6"/>
  <c r="P23" i="6" s="1"/>
  <c r="L37" i="6"/>
  <c r="N15" i="6"/>
  <c r="P29" i="6"/>
  <c r="P32" i="6"/>
  <c r="M37" i="6"/>
  <c r="E24" i="6"/>
  <c r="P24" i="6" s="1"/>
  <c r="N33" i="6"/>
  <c r="E34" i="6" s="1"/>
  <c r="P34" i="6" s="1"/>
  <c r="N28" i="6"/>
  <c r="E30" i="6" s="1"/>
  <c r="P30" i="6" s="1"/>
  <c r="P15" i="6"/>
  <c r="I21" i="6"/>
  <c r="P21" i="6" s="1"/>
  <c r="N16" i="6"/>
  <c r="I16" i="6"/>
  <c r="I29" i="6"/>
  <c r="I22" i="6"/>
  <c r="P22" i="6" s="1"/>
  <c r="K37" i="6"/>
  <c r="X36" i="6" l="1"/>
  <c r="I37" i="6"/>
  <c r="P16" i="6"/>
  <c r="P37" i="6" s="1"/>
  <c r="X31" i="6"/>
  <c r="L42" i="6"/>
  <c r="N37" i="6"/>
  <c r="E17" i="6"/>
  <c r="P17" i="6" s="1"/>
  <c r="X18" i="6" s="1"/>
  <c r="X25" i="6"/>
  <c r="V39" i="6" l="1"/>
  <c r="P42" i="6"/>
  <c r="M44" i="6"/>
  <c r="X37" i="6"/>
  <c r="R38" i="1" l="1"/>
  <c r="E59" i="1"/>
  <c r="P59" i="1" s="1"/>
  <c r="V80" i="4"/>
  <c r="X79" i="4"/>
  <c r="V17" i="4"/>
  <c r="X19" i="4" s="1"/>
  <c r="X16" i="4"/>
  <c r="Q16" i="4"/>
  <c r="G29" i="1"/>
  <c r="H29" i="1"/>
  <c r="I29" i="1" s="1"/>
  <c r="P29" i="1" s="1"/>
  <c r="G21" i="1"/>
  <c r="G22" i="1"/>
  <c r="G23" i="1"/>
  <c r="G24" i="1"/>
  <c r="G25" i="1"/>
  <c r="G28" i="1"/>
  <c r="H28" i="1"/>
  <c r="I28" i="1" s="1"/>
  <c r="P28" i="1" s="1"/>
  <c r="H27" i="1"/>
  <c r="P27" i="1" s="1"/>
  <c r="H26" i="1"/>
  <c r="P26" i="1" s="1"/>
  <c r="V6" i="4"/>
  <c r="V5" i="4"/>
  <c r="V4" i="4"/>
  <c r="H21" i="1" l="1"/>
  <c r="I21" i="1" s="1"/>
  <c r="P21" i="1" s="1"/>
  <c r="H22" i="1"/>
  <c r="I22" i="1" s="1"/>
  <c r="P22" i="1" s="1"/>
  <c r="H23" i="1"/>
  <c r="I23" i="1" s="1"/>
  <c r="P23" i="1" s="1"/>
  <c r="H24" i="1"/>
  <c r="I24" i="1" s="1"/>
  <c r="P24" i="1" s="1"/>
  <c r="H25" i="1"/>
  <c r="I25" i="1" s="1"/>
  <c r="P25" i="1" s="1"/>
  <c r="O75" i="1"/>
  <c r="U39" i="1" l="1"/>
  <c r="V39" i="1" s="1"/>
  <c r="E48" i="1" l="1"/>
  <c r="R51" i="1"/>
  <c r="U52" i="1"/>
  <c r="V52" i="1" s="1"/>
  <c r="U51" i="1"/>
  <c r="V51" i="1" s="1"/>
  <c r="G51" i="1"/>
  <c r="K51" i="1" s="1"/>
  <c r="U60" i="1"/>
  <c r="V60" i="1" s="1"/>
  <c r="U38" i="1"/>
  <c r="V38" i="1" s="1"/>
  <c r="U50" i="1"/>
  <c r="V50" i="1" s="1"/>
  <c r="H51" i="1" l="1"/>
  <c r="N51" i="1" s="1"/>
  <c r="L51" i="1"/>
  <c r="M51" i="1"/>
  <c r="J51" i="1"/>
  <c r="U47" i="1"/>
  <c r="U49" i="1"/>
  <c r="V49" i="1" s="1"/>
  <c r="I51" i="1" l="1"/>
  <c r="P51" i="1" s="1"/>
  <c r="R72" i="1"/>
  <c r="R67" i="1"/>
  <c r="R62" i="1"/>
  <c r="R19" i="1"/>
  <c r="R15" i="1"/>
  <c r="R11" i="1"/>
  <c r="U65" i="1"/>
  <c r="U71" i="1" l="1"/>
  <c r="V71" i="1" s="1"/>
  <c r="U34" i="1"/>
  <c r="V34" i="1" s="1"/>
  <c r="U37" i="1"/>
  <c r="V37" i="1" s="1"/>
  <c r="U48" i="1"/>
  <c r="V48" i="1" s="1"/>
  <c r="U70" i="1"/>
  <c r="U69" i="1"/>
  <c r="U59" i="1"/>
  <c r="V59" i="1" s="1"/>
  <c r="V65" i="1"/>
  <c r="X68" i="1" s="1"/>
  <c r="V58" i="1"/>
  <c r="V47" i="1"/>
  <c r="V35" i="1"/>
  <c r="V36" i="1"/>
  <c r="V22" i="1"/>
  <c r="V23" i="1"/>
  <c r="V21" i="1"/>
  <c r="X33" i="1" s="1"/>
  <c r="X3" i="4"/>
  <c r="G50" i="1" l="1"/>
  <c r="J50" i="1" s="1"/>
  <c r="G70" i="1"/>
  <c r="V69" i="1"/>
  <c r="V70" i="1"/>
  <c r="G69" i="1"/>
  <c r="P48" i="1"/>
  <c r="G58" i="1"/>
  <c r="H58" i="1" s="1"/>
  <c r="U17" i="1"/>
  <c r="V17" i="1" s="1"/>
  <c r="X20" i="1" s="1"/>
  <c r="U18" i="1"/>
  <c r="V18" i="1" s="1"/>
  <c r="U13" i="1"/>
  <c r="V13" i="1" s="1"/>
  <c r="G42" i="1"/>
  <c r="K42" i="1" s="1"/>
  <c r="Q68" i="1"/>
  <c r="Q64" i="1"/>
  <c r="Q57" i="1"/>
  <c r="Q46" i="1"/>
  <c r="Q33" i="1"/>
  <c r="G61" i="1"/>
  <c r="G60" i="1"/>
  <c r="U9" i="1"/>
  <c r="K50" i="1" l="1"/>
  <c r="P58" i="1"/>
  <c r="L50" i="1"/>
  <c r="H50" i="1"/>
  <c r="N50" i="1" s="1"/>
  <c r="M50" i="1"/>
  <c r="H70" i="1"/>
  <c r="N70" i="1" s="1"/>
  <c r="J70" i="1"/>
  <c r="K70" i="1"/>
  <c r="H69" i="1"/>
  <c r="N69" i="1" s="1"/>
  <c r="J69" i="1"/>
  <c r="K69" i="1"/>
  <c r="M42" i="1"/>
  <c r="M61" i="1"/>
  <c r="H42" i="1"/>
  <c r="N42" i="1" s="1"/>
  <c r="J42" i="1"/>
  <c r="H60" i="1"/>
  <c r="N60" i="1" s="1"/>
  <c r="H61" i="1"/>
  <c r="N61" i="1" s="1"/>
  <c r="J60" i="1"/>
  <c r="J61" i="1"/>
  <c r="K60" i="1"/>
  <c r="K61" i="1"/>
  <c r="G41" i="1"/>
  <c r="H41" i="1" s="1"/>
  <c r="E71" i="1" l="1"/>
  <c r="P71" i="1" s="1"/>
  <c r="E62" i="1"/>
  <c r="P62" i="1" s="1"/>
  <c r="I42" i="1"/>
  <c r="P42" i="1" s="1"/>
  <c r="I50" i="1"/>
  <c r="P50" i="1" s="1"/>
  <c r="I69" i="1"/>
  <c r="P61" i="1"/>
  <c r="I70" i="1"/>
  <c r="P70" i="1"/>
  <c r="P69" i="1"/>
  <c r="P60" i="1"/>
  <c r="I61" i="1"/>
  <c r="I60" i="1"/>
  <c r="J41" i="1"/>
  <c r="K41" i="1"/>
  <c r="N41" i="1"/>
  <c r="E43" i="1" s="1"/>
  <c r="P43" i="1" s="1"/>
  <c r="I41" i="1"/>
  <c r="G49" i="1"/>
  <c r="J49" i="1" s="1"/>
  <c r="X73" i="1" l="1"/>
  <c r="X64" i="1"/>
  <c r="P41" i="1"/>
  <c r="K49" i="1"/>
  <c r="H49" i="1"/>
  <c r="N49" i="1" s="1"/>
  <c r="E52" i="1" s="1"/>
  <c r="P52" i="1" s="1"/>
  <c r="L49" i="1"/>
  <c r="N40" i="1"/>
  <c r="G40" i="1"/>
  <c r="I40" i="1" s="1"/>
  <c r="N39" i="1"/>
  <c r="G39" i="1"/>
  <c r="I39" i="1" s="1"/>
  <c r="N38" i="1"/>
  <c r="G38" i="1"/>
  <c r="I38" i="1" s="1"/>
  <c r="P38" i="1" l="1"/>
  <c r="P40" i="1"/>
  <c r="P39" i="1"/>
  <c r="I49" i="1"/>
  <c r="P49" i="1" s="1"/>
  <c r="X57" i="1" s="1"/>
  <c r="G9" i="1"/>
  <c r="X46" i="1" l="1"/>
  <c r="U12" i="1"/>
  <c r="U10" i="1"/>
  <c r="V10" i="1" s="1"/>
  <c r="G12" i="1"/>
  <c r="H12" i="1" s="1"/>
  <c r="G16" i="1"/>
  <c r="H16" i="1" s="1"/>
  <c r="G14" i="1"/>
  <c r="M14" i="1" s="1"/>
  <c r="G13" i="1"/>
  <c r="H13" i="1" s="1"/>
  <c r="L9" i="1"/>
  <c r="M9" i="1" l="1"/>
  <c r="H9" i="1"/>
  <c r="V12" i="1"/>
  <c r="H14" i="1"/>
  <c r="L16" i="1"/>
  <c r="K16" i="1"/>
  <c r="M16" i="1"/>
  <c r="J16" i="1"/>
  <c r="J12" i="1"/>
  <c r="L12" i="1"/>
  <c r="K12" i="1"/>
  <c r="M12" i="1"/>
  <c r="K13" i="1"/>
  <c r="J13" i="1"/>
  <c r="M13" i="1"/>
  <c r="L13" i="1"/>
  <c r="J14" i="1"/>
  <c r="K14" i="1"/>
  <c r="L14" i="1"/>
  <c r="J9" i="1"/>
  <c r="K9" i="1"/>
  <c r="K75" i="1" l="1"/>
  <c r="M75" i="1"/>
  <c r="L75" i="1"/>
  <c r="N12" i="1"/>
  <c r="I12" i="1"/>
  <c r="L80" i="1" l="1"/>
  <c r="P12" i="1"/>
  <c r="N13" i="1"/>
  <c r="I13" i="1"/>
  <c r="P13" i="1" l="1"/>
  <c r="N14" i="1"/>
  <c r="I14" i="1"/>
  <c r="P14" i="1" l="1"/>
  <c r="X16" i="1" s="1"/>
  <c r="N16" i="1"/>
  <c r="I16" i="1"/>
  <c r="P16" i="1" l="1"/>
  <c r="V9" i="1"/>
  <c r="N9" i="1" l="1"/>
  <c r="N75" i="1" s="1"/>
  <c r="I9" i="1"/>
  <c r="V75" i="1"/>
  <c r="P9" i="1" l="1"/>
  <c r="X12" i="1" l="1"/>
  <c r="X75" i="1" s="1"/>
  <c r="P75" i="1"/>
  <c r="V77" i="1" s="1"/>
</calcChain>
</file>

<file path=xl/sharedStrings.xml><?xml version="1.0" encoding="utf-8"?>
<sst xmlns="http://schemas.openxmlformats.org/spreadsheetml/2006/main" count="278" uniqueCount="151">
  <si>
    <t>Invoice Reconcilation</t>
  </si>
  <si>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</si>
  <si>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</si>
  <si>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</si>
  <si>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</si>
  <si>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</si>
  <si>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</si>
  <si>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</si>
  <si>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</si>
  <si>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</si>
  <si>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</si>
  <si>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</si>
  <si>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</si>
  <si>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>TDS (1%)</t>
  </si>
  <si>
    <t xml:space="preserve">Debit </t>
  </si>
  <si>
    <t>After Debit Amt</t>
  </si>
  <si>
    <t>On Commissioning</t>
  </si>
  <si>
    <t>Balance Payable Amount Rs. -</t>
  </si>
  <si>
    <t>Total Paid Amount Rs. -</t>
  </si>
  <si>
    <t>OHT Construction work</t>
  </si>
  <si>
    <t>Testing Deposit</t>
  </si>
  <si>
    <t>Shamli UP</t>
  </si>
  <si>
    <t>Skyline Airconditioning Engineers PVT LTD</t>
  </si>
  <si>
    <t>03-06-2023 NEFT/AXISP00395454059/RIUP23/503/SKYLINE AIR COND ₹ 9,80,000.00</t>
  </si>
  <si>
    <t>RIUP23/503</t>
  </si>
  <si>
    <t>RIUP23/502</t>
  </si>
  <si>
    <t>03-06-2023 NEFT/AXISP00395454058/RIUP23/502/SKYLINE AIR COND ₹ 9,80,000.00</t>
  </si>
  <si>
    <t>RIUP23/501</t>
  </si>
  <si>
    <t>03-06-2023 NEFT/AXISP00395454057/RIUP23/501/SKYLINE AIR COND ₹ 9,80,000.00</t>
  </si>
  <si>
    <t>Purchase of submersible cable</t>
  </si>
  <si>
    <t>RIUP23/582</t>
  </si>
  <si>
    <t>13-06-2023 NEFT/AXISP00398036682/RIUP23/582/SKYLINE AIR COND 1276760.00</t>
  </si>
  <si>
    <t>Purchase of DG Set</t>
  </si>
  <si>
    <t>RIUP23/749</t>
  </si>
  <si>
    <t>21-06-2023 NEFT/AXISP00399842951/RIUP23/749/SKYLINE AIR COND 15759168.00</t>
  </si>
  <si>
    <t>SPUP23/0131</t>
  </si>
  <si>
    <t>2023 19-04-2023 NEFT/AXISP00382939922/SPUP23/0131/SKYLINE AIR CON 2476425.00</t>
  </si>
  <si>
    <t>JK cement 830 bags</t>
  </si>
  <si>
    <t>RIUP23/686</t>
  </si>
  <si>
    <t>16-06-2023 NEFT/AXISP00399009129/RIUP23/686/SKYLINE AIR COND 613456.00</t>
  </si>
  <si>
    <t>JK cement 840 bags</t>
  </si>
  <si>
    <t>RIUP23/732</t>
  </si>
  <si>
    <t>21-06-2023 NEFT/AXISP00399842958/RIUP23/732/SKYLINE AIR COND 200000.00</t>
  </si>
  <si>
    <t>RIUP23/810</t>
  </si>
  <si>
    <t>22-06-2023 NEFT/AXISP00400299794/RIUP23/810/SKYLINE AIR COND 681310.00</t>
  </si>
  <si>
    <t>Bhanerauddha Village OHT Construction work 300 kl 12m</t>
  </si>
  <si>
    <t>RIUP22/2135</t>
  </si>
  <si>
    <t>08-02-2023 NEFT/AXISP00361822144/RIUP22/2135/SKYLINE AIR CON 490000.00</t>
  </si>
  <si>
    <t>JCB Hire Deduction</t>
  </si>
  <si>
    <t>Gagour Village OHT Construction work 275 kl 12m</t>
  </si>
  <si>
    <t>Tana Village OHT Construction work 325 kl 12m</t>
  </si>
  <si>
    <t>SPUP23/0176</t>
  </si>
  <si>
    <t>12-05-2023 12-05-2023 NEFT/AXISP00389862097/SPUP23/0176/SKYLINE AIR CON 280747.00</t>
  </si>
  <si>
    <t xml:space="preserve">Hasanpur Village OHT Construction work </t>
  </si>
  <si>
    <t>RIUP22/2497</t>
  </si>
  <si>
    <t>08-03-2023 NEFT/AXISP00369766199/RIUP22/2497/SKYLINE AIR CON 294000.00</t>
  </si>
  <si>
    <t>RIUP22/2498</t>
  </si>
  <si>
    <t>08-03-2023 NEFT/AXISP00369766200/RIUP22/2498/SKYLINE AIR CON 294000.00</t>
  </si>
  <si>
    <t>01-08-2023 NEFT/AXISP00411621771/RIUPP23/1316/SKYLINE AIR CO 490000.00</t>
  </si>
  <si>
    <t>29.06.2023</t>
  </si>
  <si>
    <t>02.07.2023</t>
  </si>
  <si>
    <t>06.07.2023</t>
  </si>
  <si>
    <t>21.07.2023</t>
  </si>
  <si>
    <t>01-08-2023 NEFT/AXISP00411621770/RIUPP23/1315/SKYLINE AIR CO 392000.00</t>
  </si>
  <si>
    <t>01-08-2023 NEFT/AXISP00411621768/RIUPP23/1312/SKYLINE AIR CO 214175.00</t>
  </si>
  <si>
    <t>01-08-2023 NEFT/AXISP00411621769/RIUPP23/1313/SKYLINE AIR CO 88902.00</t>
  </si>
  <si>
    <t>Second hand Air Compressor</t>
  </si>
  <si>
    <t>22-06-2023 NEFT/AXISP00400299795/RIUP23/665/SKYLINE AIR COND 3146790.00</t>
  </si>
  <si>
    <t>GST</t>
  </si>
  <si>
    <t>30-08-2023 NEFT/AXISP00419231980/RIUP23/1769/SKYLINE AIR CONDIT/BKID0006018 ₹ 42,55,011.00</t>
  </si>
  <si>
    <t>RIUP23/1769</t>
  </si>
  <si>
    <t>Staircase Hold</t>
  </si>
  <si>
    <t>RIUP23/1316</t>
  </si>
  <si>
    <t>RIUP22/665</t>
  </si>
  <si>
    <t>Mansoura Village OHT Work</t>
  </si>
  <si>
    <t>Sakauti Village OHT Work</t>
  </si>
  <si>
    <t>kamalpur Village OHT Work</t>
  </si>
  <si>
    <t>Toda Village OHT Work</t>
  </si>
  <si>
    <t>09-10-2023 NEFT/AXISP0036856989/RIUP23/2597/SKYLINE AIR CON 980000.00</t>
  </si>
  <si>
    <t>RIUP22/2597</t>
  </si>
  <si>
    <t>19-10-2023 NEFT/AXISP00435751147/RIUP23/2797/SKYLINE AIR CONDIT/BKID0006018 490000.00</t>
  </si>
  <si>
    <t>19-10-2023 NEFT/AXISP00435751146/RIUP23/2798/SKYLINE AIR CONDIT/BKID0006018 490000.00</t>
  </si>
  <si>
    <t>RIUP22/2798</t>
  </si>
  <si>
    <t>RIUP22/2797</t>
  </si>
  <si>
    <t>19-10-2023 NEFT/AXISP00435751145/RIUP23/2799/SKYLINE AIR CONDIT/BKID0006018 294000.00</t>
  </si>
  <si>
    <t>RIUP22/1312</t>
  </si>
  <si>
    <t>RIUP22/1313</t>
  </si>
  <si>
    <t>RIUP22/2799</t>
  </si>
  <si>
    <t>TDS Amount @ 2% on BASIC AMOUNT</t>
  </si>
  <si>
    <t>OHT BOQ AMOUNT</t>
  </si>
  <si>
    <t>19-10-2023 NEFT/AXISP00435751148/RIUP23/2800/SKYLINE AIR CONDIT/BKID0006018 196000.00</t>
  </si>
  <si>
    <t>RIUP22/2800</t>
  </si>
  <si>
    <t>Difference</t>
  </si>
  <si>
    <t>09-10-2023 NEFT/AXISP0036856985/RIUP23/2595/SKYLINE AIR CON 490000.00</t>
  </si>
  <si>
    <t>08-02-2023 NEFT/AXISP00361822145/RIUP22/2134/SKYLINE AIR CON 490000.00</t>
  </si>
  <si>
    <t>RIUP22/2134</t>
  </si>
  <si>
    <t>RIUP23/2934</t>
  </si>
  <si>
    <t>26-10-2023 NEFT/AXISP00437169368/RIUP23/2934/SKYLINE AIR CONDIT/BKID0006018 ₹ 4,90,000.00</t>
  </si>
  <si>
    <t>30.10.23</t>
  </si>
  <si>
    <t>26-10-2023 NEFT/AXISP00437169367/RIUP23/2935/SKYLINE AIR CONDIT/BKID0006018 ₹ 4,90,000.00</t>
  </si>
  <si>
    <t>RIUP23/2935</t>
  </si>
  <si>
    <t>09-10-2023 NEFT/AXISP0036856986/RIUP23/2596/SKYLINE AIR CON 490000.00</t>
  </si>
  <si>
    <t>RIUP22/2596</t>
  </si>
  <si>
    <t>10-11-2023 NEFT/AXISP00443569640/RIUP23/3273/SKYLINE AIR CONDIT/BKID0006018 980000.00</t>
  </si>
  <si>
    <t>17-11-2023 NEFT/AXISP00437145856/RIUP23/3334/SKYLINE AIR CONDIT/BKID0006018 ₹ 294000.00</t>
  </si>
  <si>
    <t>RIUP23/3273</t>
  </si>
  <si>
    <t>RIUP23/3334</t>
  </si>
  <si>
    <t>22-05-2024 NEFT/AXISP00501932375/RIUP24/0588/SKYLINE AIR CONDIT/BKID0006018 490000.00</t>
  </si>
  <si>
    <t>RIUP24/0588</t>
  </si>
  <si>
    <t>84 &amp; 88</t>
  </si>
  <si>
    <t>73 &amp; 82</t>
  </si>
  <si>
    <t>GSt</t>
  </si>
  <si>
    <t>11-12-2023 NEFT/AXISP00451701549/RIUP23/3677/SKYLINE AIR CONDIT/BKID0006018 604328.00</t>
  </si>
  <si>
    <t>credit note-  3 bags - 13</t>
  </si>
  <si>
    <t>credit note-  2 bags -7</t>
  </si>
  <si>
    <t>74 , 89</t>
  </si>
  <si>
    <t>72, 83</t>
  </si>
  <si>
    <t>Villages</t>
  </si>
  <si>
    <t>Tana</t>
  </si>
  <si>
    <t xml:space="preserve">Toda </t>
  </si>
  <si>
    <t>Bhaneradda</t>
  </si>
  <si>
    <t>Gagour</t>
  </si>
  <si>
    <t>S.No.</t>
  </si>
  <si>
    <t xml:space="preserve">Kertu </t>
  </si>
  <si>
    <t>Ballamazra</t>
  </si>
  <si>
    <t>Janardan To Skyline Airconditioning Engineers PVT LTD To LCESPL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</si>
  <si>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</si>
  <si>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</si>
  <si>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</si>
  <si>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</si>
  <si>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</si>
  <si>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</si>
  <si>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</si>
  <si>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</si>
  <si>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</si>
  <si>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</si>
  <si>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</si>
  <si>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</si>
  <si>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</si>
  <si>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</si>
  <si>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</si>
  <si>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</si>
  <si>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</si>
  <si>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GST_SD_Amount</t>
  </si>
  <si>
    <t>Final_Amount</t>
  </si>
  <si>
    <t>Payment_Amount</t>
  </si>
  <si>
    <t>TDS_Payment_Amount</t>
  </si>
  <si>
    <t>Total_Amount</t>
  </si>
  <si>
    <t xml:space="preserve">Bhanerauddha Village OHT Construction work </t>
  </si>
  <si>
    <t xml:space="preserve">Gagour Village OHT Construction work </t>
  </si>
  <si>
    <t xml:space="preserve">Tana Village OHT Construction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</si>
</sst>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 * #,##0.00_ ;_ * \-#,##0.00_ ;_ * &quot;-&quot;??_ ;_ @_ "/>
    <numFmt numFmtId="165" formatCode="_ * #,##0_ ;_ * \-#,##0_ ;_ * &quot;-&quot;??_ ;_ @_ "/>
    <numFmt numFmtId="167" formatCode="[$-409]d\-mmm\-yy;@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rgb="FFFF0000"/>
      <name val="Comic Sans MS"/>
      <family val="4"/>
    </font>
    <font>
      <b/>
      <sz val="10"/>
      <color theme="1"/>
      <name val="Comic Sans MS"/>
      <family val="4"/>
    </font>
    <font>
      <b/>
      <sz val="14"/>
      <name val="Comic Sans MS"/>
      <family val="4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96">
    <xf numFmtId="0" fontId="0" fillId="0" borderId="0" xfId="0"/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164" fontId="3" fillId="2" borderId="0" xfId="1" applyNumberFormat="1" applyFont="1" applyFill="1" applyBorder="1" applyAlignment="1">
      <alignment vertical="center"/>
    </xf>
    <xf numFmtId="164" fontId="3" fillId="2" borderId="2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14" fontId="3" fillId="2" borderId="4" xfId="1" applyNumberFormat="1" applyFont="1" applyFill="1" applyBorder="1" applyAlignment="1">
      <alignment vertical="center"/>
    </xf>
    <xf numFmtId="164" fontId="3" fillId="3" borderId="1" xfId="1" applyNumberFormat="1" applyFont="1" applyFill="1" applyBorder="1" applyAlignment="1">
      <alignment vertical="center"/>
    </xf>
    <xf numFmtId="164" fontId="3" fillId="3" borderId="2" xfId="1" applyNumberFormat="1" applyFont="1" applyFill="1" applyBorder="1" applyAlignment="1">
      <alignment vertical="center"/>
    </xf>
    <xf numFmtId="14" fontId="2" fillId="2" borderId="0" xfId="1" applyNumberFormat="1" applyFont="1" applyFill="1" applyBorder="1" applyAlignment="1">
      <alignment vertical="center"/>
    </xf>
    <xf numFmtId="14" fontId="3" fillId="2" borderId="2" xfId="1" applyNumberFormat="1" applyFont="1" applyFill="1" applyBorder="1" applyAlignment="1">
      <alignment vertical="center"/>
    </xf>
    <xf numFmtId="14" fontId="3" fillId="2" borderId="2" xfId="0" applyNumberFormat="1" applyFont="1" applyFill="1" applyBorder="1" applyAlignment="1">
      <alignment horizontal="center" vertical="center"/>
    </xf>
    <xf numFmtId="14" fontId="3" fillId="3" borderId="2" xfId="0" applyNumberFormat="1" applyFont="1" applyFill="1" applyBorder="1" applyAlignment="1">
      <alignment horizontal="center" vertical="center"/>
    </xf>
    <xf numFmtId="15" fontId="3" fillId="2" borderId="2" xfId="0" applyNumberFormat="1" applyFont="1" applyFill="1" applyBorder="1" applyAlignment="1">
      <alignment horizontal="center" vertical="center"/>
    </xf>
    <xf numFmtId="14" fontId="3" fillId="3" borderId="2" xfId="1" applyNumberFormat="1" applyFont="1" applyFill="1" applyBorder="1" applyAlignment="1">
      <alignment vertical="center"/>
    </xf>
    <xf numFmtId="9" fontId="3" fillId="3" borderId="1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vertical="center"/>
    </xf>
    <xf numFmtId="0" fontId="7" fillId="4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3" fillId="3" borderId="2" xfId="0" applyFont="1" applyFill="1" applyBorder="1" applyAlignment="1">
      <alignment horizontal="center" vertical="center" wrapText="1"/>
    </xf>
    <xf numFmtId="43" fontId="0" fillId="3" borderId="2" xfId="0" applyNumberFormat="1" applyFill="1" applyBorder="1" applyAlignment="1">
      <alignment vertical="center"/>
    </xf>
    <xf numFmtId="165" fontId="3" fillId="2" borderId="2" xfId="1" applyNumberFormat="1" applyFont="1" applyFill="1" applyBorder="1" applyAlignment="1">
      <alignment vertical="center"/>
    </xf>
    <xf numFmtId="0" fontId="0" fillId="0" borderId="2" xfId="0" applyBorder="1" applyAlignment="1">
      <alignment vertical="center" wrapText="1"/>
    </xf>
    <xf numFmtId="0" fontId="5" fillId="3" borderId="2" xfId="0" applyFont="1" applyFill="1" applyBorder="1" applyAlignment="1">
      <alignment horizontal="center" vertical="center" wrapText="1"/>
    </xf>
    <xf numFmtId="164" fontId="3" fillId="2" borderId="2" xfId="1" applyNumberFormat="1" applyFont="1" applyFill="1" applyBorder="1" applyAlignment="1">
      <alignment horizontal="right" vertical="center"/>
    </xf>
    <xf numFmtId="164" fontId="5" fillId="2" borderId="2" xfId="1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6" fillId="2" borderId="0" xfId="0" applyFont="1" applyFill="1" applyAlignment="1">
      <alignment vertical="center"/>
    </xf>
    <xf numFmtId="14" fontId="0" fillId="2" borderId="0" xfId="0" applyNumberFormat="1" applyFill="1" applyAlignment="1">
      <alignment vertical="center"/>
    </xf>
    <xf numFmtId="0" fontId="0" fillId="0" borderId="0" xfId="0" applyAlignment="1">
      <alignment vertical="center"/>
    </xf>
    <xf numFmtId="0" fontId="3" fillId="2" borderId="0" xfId="0" applyFont="1" applyFill="1" applyAlignment="1">
      <alignment vertical="center"/>
    </xf>
    <xf numFmtId="14" fontId="3" fillId="2" borderId="0" xfId="0" applyNumberFormat="1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164" fontId="0" fillId="2" borderId="0" xfId="0" applyNumberFormat="1" applyFill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4" fontId="3" fillId="2" borderId="5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14" fontId="3" fillId="2" borderId="3" xfId="1" applyNumberFormat="1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0" fillId="3" borderId="1" xfId="0" applyFill="1" applyBorder="1" applyAlignment="1">
      <alignment vertical="center"/>
    </xf>
    <xf numFmtId="14" fontId="3" fillId="3" borderId="1" xfId="1" applyNumberFormat="1" applyFont="1" applyFill="1" applyBorder="1" applyAlignment="1">
      <alignment vertical="center"/>
    </xf>
    <xf numFmtId="9" fontId="3" fillId="2" borderId="3" xfId="1" applyNumberFormat="1" applyFont="1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164" fontId="5" fillId="2" borderId="4" xfId="1" applyNumberFormat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164" fontId="5" fillId="2" borderId="5" xfId="1" applyNumberFormat="1" applyFont="1" applyFill="1" applyBorder="1" applyAlignment="1">
      <alignment vertical="center"/>
    </xf>
    <xf numFmtId="0" fontId="7" fillId="5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3" fillId="3" borderId="2" xfId="0" applyFont="1" applyFill="1" applyBorder="1" applyAlignment="1">
      <alignment vertical="center"/>
    </xf>
    <xf numFmtId="15" fontId="3" fillId="2" borderId="2" xfId="0" applyNumberFormat="1" applyFont="1" applyFill="1" applyBorder="1" applyAlignment="1">
      <alignment vertical="center"/>
    </xf>
    <xf numFmtId="164" fontId="9" fillId="6" borderId="2" xfId="1" applyNumberFormat="1" applyFont="1" applyFill="1" applyBorder="1" applyAlignment="1">
      <alignment vertical="center"/>
    </xf>
    <xf numFmtId="0" fontId="7" fillId="5" borderId="1" xfId="0" applyFont="1" applyFill="1" applyBorder="1" applyAlignment="1">
      <alignment vertical="center"/>
    </xf>
    <xf numFmtId="0" fontId="0" fillId="0" borderId="6" xfId="0" applyBorder="1"/>
    <xf numFmtId="0" fontId="0" fillId="0" borderId="6" xfId="0" applyBorder="1" applyAlignment="1">
      <alignment horizontal="center"/>
    </xf>
    <xf numFmtId="0" fontId="6" fillId="0" borderId="6" xfId="0" applyFont="1" applyBorder="1" applyAlignment="1">
      <alignment horizontal="center"/>
    </xf>
    <xf numFmtId="164" fontId="10" fillId="2" borderId="0" xfId="1" applyNumberFormat="1" applyFont="1" applyFill="1" applyBorder="1" applyAlignment="1">
      <alignment horizontal="center" vertical="center"/>
    </xf>
    <xf numFmtId="164" fontId="11" fillId="2" borderId="0" xfId="1" applyNumberFormat="1" applyFont="1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164" fontId="2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64" fontId="3" fillId="2" borderId="5" xfId="1" applyNumberFormat="1" applyFont="1" applyFill="1" applyBorder="1" applyAlignment="1">
      <alignment horizontal="center" vertical="center"/>
    </xf>
    <xf numFmtId="164" fontId="3" fillId="2" borderId="3" xfId="1" applyNumberFormat="1" applyFont="1" applyFill="1" applyBorder="1" applyAlignment="1">
      <alignment horizontal="center" vertical="center"/>
    </xf>
    <xf numFmtId="164" fontId="3" fillId="3" borderId="2" xfId="1" applyNumberFormat="1" applyFont="1" applyFill="1" applyBorder="1" applyAlignment="1">
      <alignment horizontal="center" vertical="center"/>
    </xf>
    <xf numFmtId="164" fontId="3" fillId="2" borderId="2" xfId="1" applyNumberFormat="1" applyFont="1" applyFill="1" applyBorder="1" applyAlignment="1">
      <alignment horizontal="center" vertical="center"/>
    </xf>
    <xf numFmtId="164" fontId="5" fillId="2" borderId="7" xfId="1" applyNumberFormat="1" applyFont="1" applyFill="1" applyBorder="1" applyAlignment="1">
      <alignment horizontal="center" vertical="center"/>
    </xf>
    <xf numFmtId="164" fontId="5" fillId="2" borderId="8" xfId="1" applyNumberFormat="1" applyFont="1" applyFill="1" applyBorder="1" applyAlignment="1">
      <alignment horizontal="center" vertical="center"/>
    </xf>
    <xf numFmtId="164" fontId="5" fillId="2" borderId="9" xfId="1" applyNumberFormat="1" applyFont="1" applyFill="1" applyBorder="1" applyAlignment="1">
      <alignment horizontal="center" vertical="center"/>
    </xf>
    <xf numFmtId="164" fontId="5" fillId="2" borderId="10" xfId="1" applyNumberFormat="1" applyFont="1" applyFill="1" applyBorder="1" applyAlignment="1">
      <alignment horizontal="center" vertical="center"/>
    </xf>
    <xf numFmtId="0" fontId="6" fillId="0" borderId="0" xfId="0" applyFont="1"/>
    <xf numFmtId="164" fontId="12" fillId="2" borderId="11" xfId="2" applyFont="1" applyFill="1" applyBorder="1" applyAlignment="1">
      <alignment vertical="center"/>
    </xf>
    <xf numFmtId="164" fontId="12" fillId="2" borderId="12" xfId="2" applyFont="1" applyFill="1" applyBorder="1" applyAlignment="1">
      <alignment vertical="center"/>
    </xf>
    <xf numFmtId="0" fontId="13" fillId="2" borderId="12" xfId="0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164" fontId="14" fillId="2" borderId="5" xfId="2" applyFont="1" applyFill="1" applyBorder="1" applyAlignment="1">
      <alignment horizontal="center" vertical="center"/>
    </xf>
    <xf numFmtId="164" fontId="6" fillId="2" borderId="5" xfId="2" applyFont="1" applyFill="1" applyBorder="1" applyAlignment="1">
      <alignment horizontal="center" vertical="center"/>
    </xf>
    <xf numFmtId="167" fontId="0" fillId="2" borderId="0" xfId="0" applyNumberFormat="1" applyFill="1" applyAlignment="1">
      <alignment horizontal="center" vertical="center"/>
    </xf>
    <xf numFmtId="167" fontId="2" fillId="2" borderId="0" xfId="1" applyNumberFormat="1" applyFont="1" applyFill="1" applyBorder="1" applyAlignment="1">
      <alignment horizontal="center" vertical="center"/>
    </xf>
    <xf numFmtId="167" fontId="11" fillId="2" borderId="0" xfId="1" applyNumberFormat="1" applyFont="1" applyFill="1" applyBorder="1" applyAlignment="1">
      <alignment vertical="center"/>
    </xf>
    <xf numFmtId="167" fontId="3" fillId="2" borderId="0" xfId="0" applyNumberFormat="1" applyFont="1" applyFill="1" applyAlignment="1">
      <alignment horizontal="center" vertical="center"/>
    </xf>
    <xf numFmtId="167" fontId="6" fillId="2" borderId="5" xfId="0" applyNumberFormat="1" applyFont="1" applyFill="1" applyBorder="1" applyAlignment="1">
      <alignment horizontal="center" vertical="center"/>
    </xf>
    <xf numFmtId="167" fontId="3" fillId="2" borderId="3" xfId="1" applyNumberFormat="1" applyFont="1" applyFill="1" applyBorder="1" applyAlignment="1">
      <alignment horizontal="center" vertical="center"/>
    </xf>
    <xf numFmtId="167" fontId="3" fillId="3" borderId="2" xfId="1" applyNumberFormat="1" applyFont="1" applyFill="1" applyBorder="1" applyAlignment="1">
      <alignment horizontal="center" vertical="center"/>
    </xf>
    <xf numFmtId="167" fontId="3" fillId="2" borderId="2" xfId="1" applyNumberFormat="1" applyFont="1" applyFill="1" applyBorder="1" applyAlignment="1">
      <alignment horizontal="center" vertical="center"/>
    </xf>
    <xf numFmtId="167" fontId="3" fillId="2" borderId="2" xfId="0" applyNumberFormat="1" applyFont="1" applyFill="1" applyBorder="1" applyAlignment="1">
      <alignment horizontal="center" vertical="center"/>
    </xf>
    <xf numFmtId="167" fontId="3" fillId="2" borderId="5" xfId="1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 xr:uid="{6781A06D-DAA8-433A-B020-E216C1335E39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6"/>
  <sheetViews>
    <sheetView topLeftCell="J25" zoomScale="85" zoomScaleNormal="85" workbookViewId="0">
      <selection activeCell="B10" sqref="B10"/>
    </sheetView>
  </sheetViews>
  <sheetFormatPr defaultColWidth="9" defaultRowHeight="24.9" customHeight="1" x14ac:dyDescent="0.3"/>
  <cols>
    <col min="1" max="1" width="9" style="33"/>
    <col min="2" max="2" width="30" style="33" customWidth="1"/>
    <col min="3" max="3" width="13.44140625" style="35" bestFit="1" customWidth="1"/>
    <col min="4" max="4" width="11.5546875" style="33" bestFit="1" customWidth="1"/>
    <col min="5" max="5" width="13.33203125" style="33" bestFit="1" customWidth="1"/>
    <col min="6" max="7" width="13.33203125" style="33" customWidth="1"/>
    <col min="8" max="8" width="14.6640625" style="1" customWidth="1"/>
    <col min="9" max="9" width="21.44140625" style="1" bestFit="1" customWidth="1"/>
    <col min="10" max="10" width="10.6640625" style="33" bestFit="1" customWidth="1"/>
    <col min="11" max="13" width="13.6640625" style="33" customWidth="1"/>
    <col min="14" max="14" width="15.5546875" style="33" customWidth="1"/>
    <col min="15" max="15" width="17.33203125" style="33" customWidth="1"/>
    <col min="16" max="16" width="16.6640625" style="33" bestFit="1" customWidth="1"/>
    <col min="17" max="17" width="11.88671875" style="33" customWidth="1"/>
    <col min="18" max="18" width="21.6640625" style="33" bestFit="1" customWidth="1"/>
    <col min="19" max="19" width="21.6640625" style="33" customWidth="1"/>
    <col min="20" max="20" width="13.44140625" style="33" bestFit="1" customWidth="1"/>
    <col min="21" max="21" width="14.5546875" style="33" hidden="1" customWidth="1"/>
    <col min="22" max="22" width="19.6640625" style="33" bestFit="1" customWidth="1"/>
    <col min="23" max="23" width="88.33203125" style="33" customWidth="1"/>
    <col min="24" max="24" width="17.109375" style="33" bestFit="1" customWidth="1"/>
    <col min="25" max="16384" width="9" style="33"/>
  </cols>
  <sheetData>
    <row r="1" spans="1:24" ht="24.9" customHeight="1" x14ac:dyDescent="0.3">
      <c r="B1" s="34" t="s">
        <v>21</v>
      </c>
      <c r="E1" s="36"/>
      <c r="F1" s="36"/>
      <c r="G1" s="36"/>
    </row>
    <row r="2" spans="1:24" ht="24.9" customHeight="1" x14ac:dyDescent="0.3">
      <c r="B2" s="2" t="s">
        <v>0</v>
      </c>
      <c r="C2" s="11"/>
      <c r="D2" s="2" t="s">
        <v>22</v>
      </c>
      <c r="G2" s="3"/>
      <c r="I2" s="3" t="s">
        <v>19</v>
      </c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</row>
    <row r="3" spans="1:24" ht="24.9" customHeight="1" x14ac:dyDescent="0.3">
      <c r="B3" s="2"/>
      <c r="C3" s="11"/>
      <c r="D3" s="2"/>
      <c r="G3" s="3"/>
      <c r="I3" s="3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</row>
    <row r="4" spans="1:24" ht="24.9" customHeight="1" x14ac:dyDescent="0.3">
      <c r="B4" s="2"/>
      <c r="C4" s="11"/>
      <c r="D4" s="2"/>
      <c r="G4" s="3"/>
      <c r="I4" s="3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</row>
    <row r="5" spans="1:24" ht="24.9" customHeight="1" thickBot="1" x14ac:dyDescent="0.35">
      <c r="B5" s="37"/>
      <c r="C5" s="38"/>
      <c r="D5" s="37"/>
      <c r="E5" s="37"/>
      <c r="F5" s="37"/>
      <c r="G5" s="37"/>
      <c r="H5" s="4"/>
      <c r="I5" s="4"/>
      <c r="J5" s="37"/>
      <c r="K5" s="37"/>
      <c r="L5" s="37"/>
      <c r="M5" s="37"/>
      <c r="R5" s="37"/>
      <c r="S5" s="37"/>
      <c r="T5" s="39"/>
      <c r="U5" s="39"/>
      <c r="V5" s="39"/>
      <c r="W5" s="39"/>
    </row>
    <row r="6" spans="1:24" ht="24.9" customHeight="1" x14ac:dyDescent="0.3">
      <c r="A6" s="18"/>
      <c r="B6" s="42" t="s">
        <v>1</v>
      </c>
      <c r="C6" s="43" t="s">
        <v>2</v>
      </c>
      <c r="D6" s="42" t="s">
        <v>3</v>
      </c>
      <c r="E6" s="42" t="s">
        <v>4</v>
      </c>
      <c r="F6" s="42" t="s">
        <v>14</v>
      </c>
      <c r="G6" s="42" t="s">
        <v>15</v>
      </c>
      <c r="H6" s="44" t="s">
        <v>5</v>
      </c>
      <c r="I6" s="42" t="s">
        <v>6</v>
      </c>
      <c r="J6" s="44" t="s">
        <v>13</v>
      </c>
      <c r="K6" s="44" t="s">
        <v>12</v>
      </c>
      <c r="L6" s="44" t="s">
        <v>16</v>
      </c>
      <c r="M6" s="44" t="s">
        <v>20</v>
      </c>
      <c r="N6" s="44" t="s">
        <v>7</v>
      </c>
      <c r="O6" s="44" t="s">
        <v>71</v>
      </c>
      <c r="P6" s="42" t="s">
        <v>8</v>
      </c>
      <c r="Q6" s="45"/>
      <c r="R6" s="42" t="s">
        <v>89</v>
      </c>
      <c r="S6" s="42" t="s">
        <v>9</v>
      </c>
      <c r="T6" s="42" t="s">
        <v>6</v>
      </c>
      <c r="U6" s="44" t="s">
        <v>88</v>
      </c>
      <c r="V6" s="42" t="s">
        <v>10</v>
      </c>
      <c r="W6" s="42" t="s">
        <v>11</v>
      </c>
      <c r="X6" s="18"/>
    </row>
    <row r="7" spans="1:24" ht="24.9" customHeight="1" thickBot="1" x14ac:dyDescent="0.35">
      <c r="A7" s="47"/>
      <c r="B7" s="7"/>
      <c r="C7" s="46"/>
      <c r="D7" s="7"/>
      <c r="E7" s="7"/>
      <c r="F7" s="7"/>
      <c r="G7" s="7"/>
      <c r="H7" s="50">
        <v>0.18</v>
      </c>
      <c r="I7" s="7"/>
      <c r="J7" s="50">
        <v>0.01</v>
      </c>
      <c r="K7" s="50">
        <v>0.05</v>
      </c>
      <c r="L7" s="50">
        <v>0</v>
      </c>
      <c r="M7" s="50">
        <v>0.1</v>
      </c>
      <c r="N7" s="50">
        <v>0.18</v>
      </c>
      <c r="O7" s="50"/>
      <c r="P7" s="7"/>
      <c r="Q7" s="51"/>
      <c r="R7" s="7"/>
      <c r="S7" s="7"/>
      <c r="T7" s="7"/>
      <c r="U7" s="50">
        <v>0.02</v>
      </c>
      <c r="V7" s="7"/>
      <c r="W7" s="7"/>
      <c r="X7" s="47"/>
    </row>
    <row r="8" spans="1:24" s="40" customFormat="1" ht="24.9" customHeight="1" x14ac:dyDescent="0.3">
      <c r="A8" s="48"/>
      <c r="B8" s="9"/>
      <c r="C8" s="49"/>
      <c r="D8" s="9"/>
      <c r="E8" s="9"/>
      <c r="F8" s="9"/>
      <c r="G8" s="9"/>
      <c r="H8" s="17"/>
      <c r="I8" s="9"/>
      <c r="J8" s="17"/>
      <c r="K8" s="17"/>
      <c r="L8" s="17"/>
      <c r="M8" s="17"/>
      <c r="N8" s="17"/>
      <c r="O8" s="17"/>
      <c r="P8" s="9"/>
      <c r="Q8" s="60">
        <v>57698</v>
      </c>
      <c r="R8" s="9"/>
      <c r="S8" s="9"/>
      <c r="T8" s="9"/>
      <c r="U8" s="17"/>
      <c r="V8" s="9"/>
      <c r="W8" s="9"/>
      <c r="X8" s="48"/>
    </row>
    <row r="9" spans="1:24" ht="24.9" customHeight="1" x14ac:dyDescent="0.3">
      <c r="A9" s="19">
        <v>57698</v>
      </c>
      <c r="B9" s="23" t="s">
        <v>76</v>
      </c>
      <c r="C9" s="13"/>
      <c r="D9" s="56"/>
      <c r="E9" s="5">
        <v>0</v>
      </c>
      <c r="F9" s="5">
        <v>0</v>
      </c>
      <c r="G9" s="5">
        <f>ROUND(E9-F9,)</f>
        <v>0</v>
      </c>
      <c r="H9" s="5">
        <f>ROUND(G9*$H$7,0)</f>
        <v>0</v>
      </c>
      <c r="I9" s="5">
        <f>G9+H9</f>
        <v>0</v>
      </c>
      <c r="J9" s="5">
        <f>ROUND(G9*$J$7,)</f>
        <v>0</v>
      </c>
      <c r="K9" s="5">
        <f>ROUND(G9*$K$7,)</f>
        <v>0</v>
      </c>
      <c r="L9" s="5">
        <f>ROUND(G9*$L$7,)</f>
        <v>0</v>
      </c>
      <c r="M9" s="5">
        <f>ROUND(G9*$M$7,)</f>
        <v>0</v>
      </c>
      <c r="N9" s="5">
        <f>H9</f>
        <v>0</v>
      </c>
      <c r="O9" s="5"/>
      <c r="P9" s="5">
        <f>ROUND(I9-SUM(J9:N9),0)</f>
        <v>0</v>
      </c>
      <c r="Q9" s="20"/>
      <c r="R9" s="5">
        <v>1960000</v>
      </c>
      <c r="S9" s="5" t="s">
        <v>24</v>
      </c>
      <c r="T9" s="5">
        <v>1000000</v>
      </c>
      <c r="U9" s="5">
        <f>T9*$U$7</f>
        <v>20000</v>
      </c>
      <c r="V9" s="5">
        <f>T9-U9</f>
        <v>980000</v>
      </c>
      <c r="W9" s="25" t="s">
        <v>23</v>
      </c>
      <c r="X9" s="19"/>
    </row>
    <row r="10" spans="1:24" ht="24.9" customHeight="1" x14ac:dyDescent="0.3">
      <c r="A10" s="19"/>
      <c r="B10" s="23"/>
      <c r="C10" s="13"/>
      <c r="D10" s="56"/>
      <c r="E10" s="5"/>
      <c r="F10" s="5">
        <v>0</v>
      </c>
      <c r="G10" s="5"/>
      <c r="H10" s="5"/>
      <c r="I10" s="5"/>
      <c r="J10" s="5"/>
      <c r="K10" s="5"/>
      <c r="L10" s="5"/>
      <c r="M10" s="5"/>
      <c r="N10" s="5"/>
      <c r="O10" s="5"/>
      <c r="P10" s="5"/>
      <c r="Q10" s="20"/>
      <c r="R10" s="5"/>
      <c r="S10" s="5" t="s">
        <v>72</v>
      </c>
      <c r="T10" s="5">
        <v>500000</v>
      </c>
      <c r="U10" s="5">
        <f>T10*$U$7</f>
        <v>10000</v>
      </c>
      <c r="V10" s="5">
        <f>T10-U10</f>
        <v>490000</v>
      </c>
      <c r="W10" s="25" t="s">
        <v>58</v>
      </c>
      <c r="X10" s="19"/>
    </row>
    <row r="11" spans="1:24" ht="24.9" customHeight="1" x14ac:dyDescent="0.3">
      <c r="A11" s="19"/>
      <c r="B11" s="23"/>
      <c r="C11" s="13"/>
      <c r="D11" s="56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20"/>
      <c r="R11" s="5">
        <f>R9-T9-T10-T11</f>
        <v>460000</v>
      </c>
      <c r="S11" s="5"/>
      <c r="T11" s="5"/>
      <c r="U11" s="5"/>
      <c r="V11" s="5"/>
      <c r="W11" s="25"/>
      <c r="X11" s="19"/>
    </row>
    <row r="12" spans="1:24" s="40" customFormat="1" ht="24.9" customHeight="1" x14ac:dyDescent="0.3">
      <c r="A12" s="21"/>
      <c r="B12" s="26"/>
      <c r="C12" s="14"/>
      <c r="D12" s="57"/>
      <c r="E12" s="10"/>
      <c r="F12" s="10"/>
      <c r="G12" s="10">
        <f>ROUND(E12-F12,)</f>
        <v>0</v>
      </c>
      <c r="H12" s="10">
        <f>ROUND(G12*$H$7,0)</f>
        <v>0</v>
      </c>
      <c r="I12" s="10">
        <f>G12+H12</f>
        <v>0</v>
      </c>
      <c r="J12" s="10">
        <f>ROUND(G12*$J$7,)</f>
        <v>0</v>
      </c>
      <c r="K12" s="10">
        <f>ROUND(G12*$K$7,)</f>
        <v>0</v>
      </c>
      <c r="L12" s="10">
        <f>ROUND(G12*$L$7,)</f>
        <v>0</v>
      </c>
      <c r="M12" s="10">
        <f>ROUND(G12*$M$7,)</f>
        <v>0</v>
      </c>
      <c r="N12" s="10">
        <f>H12</f>
        <v>0</v>
      </c>
      <c r="O12" s="10"/>
      <c r="P12" s="10">
        <f>ROUND(I12-SUM(J12:N12),0)</f>
        <v>0</v>
      </c>
      <c r="Q12" s="55">
        <v>57697</v>
      </c>
      <c r="R12" s="10"/>
      <c r="S12" s="10"/>
      <c r="T12" s="10"/>
      <c r="U12" s="10">
        <f>T12*$U$7</f>
        <v>0</v>
      </c>
      <c r="V12" s="10">
        <f>T12-U12</f>
        <v>0</v>
      </c>
      <c r="W12" s="21"/>
      <c r="X12" s="27">
        <f>SUM(P9:P11)-SUM(V9:V11)</f>
        <v>-1470000</v>
      </c>
    </row>
    <row r="13" spans="1:24" ht="24.9" customHeight="1" x14ac:dyDescent="0.3">
      <c r="A13" s="19">
        <v>57697</v>
      </c>
      <c r="B13" s="23" t="s">
        <v>75</v>
      </c>
      <c r="C13" s="12"/>
      <c r="D13" s="56"/>
      <c r="E13" s="5"/>
      <c r="F13" s="5"/>
      <c r="G13" s="5">
        <f>ROUND(E13-F13,)</f>
        <v>0</v>
      </c>
      <c r="H13" s="5">
        <f>ROUND(G13*$H$7,0)</f>
        <v>0</v>
      </c>
      <c r="I13" s="5">
        <f>G13+H13</f>
        <v>0</v>
      </c>
      <c r="J13" s="5">
        <f>ROUND(G13*$J$7,)</f>
        <v>0</v>
      </c>
      <c r="K13" s="5">
        <f>ROUND(G13*$K$7,)</f>
        <v>0</v>
      </c>
      <c r="L13" s="5">
        <f>ROUND(G13*$L$7,)</f>
        <v>0</v>
      </c>
      <c r="M13" s="5">
        <f>ROUND(G13*$M$7,)</f>
        <v>0</v>
      </c>
      <c r="N13" s="5">
        <f>H13</f>
        <v>0</v>
      </c>
      <c r="O13" s="5"/>
      <c r="P13" s="5">
        <f>ROUND(I13-SUM(J13:N13),0)</f>
        <v>0</v>
      </c>
      <c r="Q13" s="20"/>
      <c r="R13" s="5">
        <v>2475000</v>
      </c>
      <c r="S13" s="5" t="s">
        <v>25</v>
      </c>
      <c r="T13" s="5">
        <v>1000000</v>
      </c>
      <c r="U13" s="5">
        <f>T13*$U$7</f>
        <v>20000</v>
      </c>
      <c r="V13" s="5">
        <f>T13-U13</f>
        <v>980000</v>
      </c>
      <c r="W13" s="25" t="s">
        <v>26</v>
      </c>
      <c r="X13" s="19"/>
    </row>
    <row r="14" spans="1:24" ht="24.9" customHeight="1" x14ac:dyDescent="0.3">
      <c r="A14" s="19"/>
      <c r="B14" s="5"/>
      <c r="C14" s="12"/>
      <c r="D14" s="5"/>
      <c r="E14" s="5"/>
      <c r="F14" s="5"/>
      <c r="G14" s="5">
        <f>ROUND(E14-F14,)</f>
        <v>0</v>
      </c>
      <c r="H14" s="5">
        <f>ROUND(G14*$H$7,0)</f>
        <v>0</v>
      </c>
      <c r="I14" s="5">
        <f>G14+H14</f>
        <v>0</v>
      </c>
      <c r="J14" s="5">
        <f>ROUND(G14*$J$7,)</f>
        <v>0</v>
      </c>
      <c r="K14" s="5">
        <f>ROUND(G14*$K$7,)</f>
        <v>0</v>
      </c>
      <c r="L14" s="5">
        <f>ROUND(G14*$L$7,)</f>
        <v>0</v>
      </c>
      <c r="M14" s="5">
        <f>ROUND(G14*$M$7,)</f>
        <v>0</v>
      </c>
      <c r="N14" s="5">
        <f>H14</f>
        <v>0</v>
      </c>
      <c r="O14" s="5"/>
      <c r="P14" s="5">
        <f>ROUND(I14-SUM(J14:N14),0)</f>
        <v>0</v>
      </c>
      <c r="Q14" s="20"/>
      <c r="R14" s="5"/>
      <c r="S14" s="5"/>
      <c r="T14" s="5"/>
      <c r="U14" s="5"/>
      <c r="V14" s="5"/>
      <c r="W14" s="25"/>
      <c r="X14" s="19"/>
    </row>
    <row r="15" spans="1:24" ht="24.9" customHeight="1" x14ac:dyDescent="0.3">
      <c r="A15" s="19"/>
      <c r="B15" s="5"/>
      <c r="C15" s="12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20"/>
      <c r="R15" s="5">
        <f>R13-T13-T14-T15</f>
        <v>1475000</v>
      </c>
      <c r="S15" s="5"/>
      <c r="T15" s="5"/>
      <c r="U15" s="5"/>
      <c r="V15" s="5"/>
      <c r="W15" s="25"/>
      <c r="X15" s="19"/>
    </row>
    <row r="16" spans="1:24" s="40" customFormat="1" ht="24.9" customHeight="1" x14ac:dyDescent="0.3">
      <c r="A16" s="21"/>
      <c r="B16" s="10"/>
      <c r="C16" s="16"/>
      <c r="D16" s="10"/>
      <c r="E16" s="10"/>
      <c r="F16" s="10"/>
      <c r="G16" s="10">
        <f>ROUND(E16-F16,)</f>
        <v>0</v>
      </c>
      <c r="H16" s="10">
        <f>ROUND(G16*$H$7,0)</f>
        <v>0</v>
      </c>
      <c r="I16" s="10">
        <f>G16+H16</f>
        <v>0</v>
      </c>
      <c r="J16" s="10">
        <f>ROUND(G16*$J$7,)</f>
        <v>0</v>
      </c>
      <c r="K16" s="10">
        <f>ROUND(G16*$K$7,)</f>
        <v>0</v>
      </c>
      <c r="L16" s="10">
        <f>ROUND(G16*$L$7,)</f>
        <v>0</v>
      </c>
      <c r="M16" s="10">
        <f>ROUND(G16*$M$7,)</f>
        <v>0</v>
      </c>
      <c r="N16" s="10">
        <f>H16</f>
        <v>0</v>
      </c>
      <c r="O16" s="10"/>
      <c r="P16" s="10">
        <f>ROUND(I16-SUM(J16:N16),0)</f>
        <v>0</v>
      </c>
      <c r="Q16" s="55">
        <v>57696</v>
      </c>
      <c r="R16" s="10"/>
      <c r="S16" s="10"/>
      <c r="T16" s="10"/>
      <c r="U16" s="10"/>
      <c r="V16" s="10"/>
      <c r="W16" s="21"/>
      <c r="X16" s="27">
        <f>SUM(P13:P15)-SUM(V13:V15)</f>
        <v>-980000</v>
      </c>
    </row>
    <row r="17" spans="1:24" ht="24.9" customHeight="1" x14ac:dyDescent="0.3">
      <c r="A17" s="19">
        <v>57696</v>
      </c>
      <c r="B17" s="5" t="s">
        <v>74</v>
      </c>
      <c r="C17" s="12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20"/>
      <c r="R17" s="5">
        <v>3767500</v>
      </c>
      <c r="S17" s="5" t="s">
        <v>27</v>
      </c>
      <c r="T17" s="5">
        <v>1000000</v>
      </c>
      <c r="U17" s="5">
        <f>T17*$U$7</f>
        <v>20000</v>
      </c>
      <c r="V17" s="5">
        <f>T17-U17</f>
        <v>980000</v>
      </c>
      <c r="W17" s="25" t="s">
        <v>28</v>
      </c>
      <c r="X17" s="19"/>
    </row>
    <row r="18" spans="1:24" ht="24.9" customHeight="1" x14ac:dyDescent="0.3">
      <c r="A18" s="19"/>
      <c r="B18" s="5"/>
      <c r="C18" s="12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20"/>
      <c r="R18" s="5"/>
      <c r="S18" s="5" t="s">
        <v>25</v>
      </c>
      <c r="T18" s="5">
        <v>400000</v>
      </c>
      <c r="U18" s="5">
        <f>T18*$U$7</f>
        <v>8000</v>
      </c>
      <c r="V18" s="5">
        <f>T18-U18</f>
        <v>392000</v>
      </c>
      <c r="W18" s="25" t="s">
        <v>63</v>
      </c>
      <c r="X18" s="19"/>
    </row>
    <row r="19" spans="1:24" ht="24.9" customHeight="1" x14ac:dyDescent="0.3">
      <c r="A19" s="19"/>
      <c r="B19" s="5"/>
      <c r="C19" s="12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20"/>
      <c r="R19" s="5">
        <f>R17-T17-T18-T19</f>
        <v>2367500</v>
      </c>
      <c r="S19" s="5"/>
      <c r="T19" s="5"/>
      <c r="U19" s="5"/>
      <c r="V19" s="5"/>
      <c r="W19" s="25"/>
      <c r="X19" s="19"/>
    </row>
    <row r="20" spans="1:24" s="40" customFormat="1" ht="24.9" customHeight="1" x14ac:dyDescent="0.3">
      <c r="A20" s="21"/>
      <c r="B20" s="10"/>
      <c r="C20" s="16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55">
        <v>55298</v>
      </c>
      <c r="R20" s="10"/>
      <c r="S20" s="10"/>
      <c r="T20" s="10"/>
      <c r="U20" s="10"/>
      <c r="V20" s="10"/>
      <c r="W20" s="21"/>
      <c r="X20" s="27">
        <f>SUM(P17:P19)-SUM(V17:V19)</f>
        <v>-1372000</v>
      </c>
    </row>
    <row r="21" spans="1:24" ht="24.9" customHeight="1" x14ac:dyDescent="0.3">
      <c r="A21" s="19">
        <v>55298</v>
      </c>
      <c r="B21" s="5" t="s">
        <v>37</v>
      </c>
      <c r="C21" s="12">
        <v>44993</v>
      </c>
      <c r="D21" s="28">
        <v>1</v>
      </c>
      <c r="E21" s="5">
        <v>238625</v>
      </c>
      <c r="F21" s="5">
        <v>0</v>
      </c>
      <c r="G21" s="5">
        <f>E21</f>
        <v>238625</v>
      </c>
      <c r="H21" s="5">
        <f>G21*28%</f>
        <v>66815</v>
      </c>
      <c r="I21" s="5">
        <f>G21+H21</f>
        <v>305440</v>
      </c>
      <c r="J21" s="5"/>
      <c r="K21" s="5"/>
      <c r="L21" s="5"/>
      <c r="M21" s="5"/>
      <c r="N21" s="5"/>
      <c r="O21" s="5"/>
      <c r="P21" s="5">
        <f>I21</f>
        <v>305440</v>
      </c>
      <c r="Q21" s="20"/>
      <c r="R21" s="5"/>
      <c r="S21" s="5" t="s">
        <v>38</v>
      </c>
      <c r="T21" s="5">
        <v>613456</v>
      </c>
      <c r="U21" s="5">
        <v>0</v>
      </c>
      <c r="V21" s="5">
        <f>T21-U21</f>
        <v>613456</v>
      </c>
      <c r="W21" s="25" t="s">
        <v>39</v>
      </c>
      <c r="X21" s="19"/>
    </row>
    <row r="22" spans="1:24" ht="24.9" customHeight="1" x14ac:dyDescent="0.3">
      <c r="A22" s="19"/>
      <c r="B22" s="5" t="s">
        <v>40</v>
      </c>
      <c r="C22" s="12">
        <v>44994</v>
      </c>
      <c r="D22" s="28">
        <v>13</v>
      </c>
      <c r="E22" s="5">
        <v>241500</v>
      </c>
      <c r="F22" s="5">
        <v>0</v>
      </c>
      <c r="G22" s="5">
        <f>E22</f>
        <v>241500</v>
      </c>
      <c r="H22" s="5">
        <f>G22*28%</f>
        <v>67620</v>
      </c>
      <c r="I22" s="5">
        <f>G22+H22</f>
        <v>309120</v>
      </c>
      <c r="J22" s="5"/>
      <c r="K22" s="5"/>
      <c r="L22" s="5"/>
      <c r="M22" s="5"/>
      <c r="N22" s="5"/>
      <c r="O22" s="5"/>
      <c r="P22" s="5">
        <f>I22</f>
        <v>309120</v>
      </c>
      <c r="Q22" s="20"/>
      <c r="R22" s="5"/>
      <c r="S22" s="5" t="s">
        <v>41</v>
      </c>
      <c r="T22" s="5">
        <v>200000</v>
      </c>
      <c r="U22" s="5">
        <v>0</v>
      </c>
      <c r="V22" s="5">
        <f>T22-U22</f>
        <v>200000</v>
      </c>
      <c r="W22" s="25" t="s">
        <v>42</v>
      </c>
      <c r="X22" s="19"/>
    </row>
    <row r="23" spans="1:24" ht="24.9" customHeight="1" x14ac:dyDescent="0.3">
      <c r="A23" s="19"/>
      <c r="B23" s="5" t="s">
        <v>40</v>
      </c>
      <c r="C23" s="12">
        <v>45080</v>
      </c>
      <c r="D23" s="28">
        <v>6</v>
      </c>
      <c r="E23" s="5">
        <v>232965.59999999998</v>
      </c>
      <c r="F23" s="5">
        <v>0</v>
      </c>
      <c r="G23" s="5">
        <f>E23</f>
        <v>232965.59999999998</v>
      </c>
      <c r="H23" s="5">
        <f>G23*28%</f>
        <v>65230.368000000002</v>
      </c>
      <c r="I23" s="5">
        <f>G23+H23</f>
        <v>298195.96799999999</v>
      </c>
      <c r="J23" s="5"/>
      <c r="K23" s="5"/>
      <c r="L23" s="5"/>
      <c r="M23" s="5"/>
      <c r="N23" s="5"/>
      <c r="O23" s="5"/>
      <c r="P23" s="5">
        <f>I23</f>
        <v>298195.96799999999</v>
      </c>
      <c r="Q23" s="20"/>
      <c r="R23" s="5"/>
      <c r="S23" s="5" t="s">
        <v>43</v>
      </c>
      <c r="T23" s="5">
        <v>681310</v>
      </c>
      <c r="U23" s="5"/>
      <c r="V23" s="5">
        <f>T23-U23</f>
        <v>681310</v>
      </c>
      <c r="W23" s="25" t="s">
        <v>44</v>
      </c>
      <c r="X23" s="19"/>
    </row>
    <row r="24" spans="1:24" ht="24.9" customHeight="1" x14ac:dyDescent="0.3">
      <c r="A24" s="19"/>
      <c r="B24" s="5" t="s">
        <v>40</v>
      </c>
      <c r="C24" s="12">
        <v>45090</v>
      </c>
      <c r="D24" s="28">
        <v>7</v>
      </c>
      <c r="E24" s="5">
        <v>229689.60000000001</v>
      </c>
      <c r="F24" s="5">
        <v>0</v>
      </c>
      <c r="G24" s="5">
        <f>E24</f>
        <v>229689.60000000001</v>
      </c>
      <c r="H24" s="5">
        <f>G24*28%</f>
        <v>64313.088000000011</v>
      </c>
      <c r="I24" s="5">
        <f>G24+H24</f>
        <v>294002.68800000002</v>
      </c>
      <c r="J24" s="5"/>
      <c r="K24" s="5"/>
      <c r="L24" s="5"/>
      <c r="M24" s="5"/>
      <c r="N24" s="5"/>
      <c r="O24" s="5"/>
      <c r="P24" s="5">
        <f>I24</f>
        <v>294002.68800000002</v>
      </c>
      <c r="Q24" s="20"/>
      <c r="R24" s="5"/>
      <c r="S24" s="5"/>
      <c r="T24" s="5">
        <v>604328</v>
      </c>
      <c r="U24" s="5"/>
      <c r="V24" s="5">
        <v>604328</v>
      </c>
      <c r="W24" s="25" t="s">
        <v>112</v>
      </c>
      <c r="X24" s="19"/>
    </row>
    <row r="25" spans="1:24" ht="24.9" customHeight="1" x14ac:dyDescent="0.3">
      <c r="A25" s="19"/>
      <c r="B25" s="5" t="s">
        <v>37</v>
      </c>
      <c r="C25" s="12">
        <v>45090</v>
      </c>
      <c r="D25" s="28">
        <v>8</v>
      </c>
      <c r="E25" s="5">
        <v>226955.2</v>
      </c>
      <c r="F25" s="5">
        <v>0</v>
      </c>
      <c r="G25" s="5">
        <f>E25</f>
        <v>226955.2</v>
      </c>
      <c r="H25" s="5">
        <f>G25*28%</f>
        <v>63547.456000000013</v>
      </c>
      <c r="I25" s="5">
        <f>G25+H25</f>
        <v>290502.65600000002</v>
      </c>
      <c r="J25" s="5"/>
      <c r="K25" s="5"/>
      <c r="L25" s="5"/>
      <c r="M25" s="5"/>
      <c r="N25" s="5"/>
      <c r="O25" s="5"/>
      <c r="P25" s="5">
        <f>I25</f>
        <v>290502.65600000002</v>
      </c>
      <c r="Q25" s="20"/>
      <c r="R25" s="5"/>
      <c r="S25" s="5"/>
      <c r="T25" s="5"/>
      <c r="U25" s="5"/>
      <c r="V25" s="5"/>
      <c r="W25" s="25"/>
      <c r="X25" s="19"/>
    </row>
    <row r="26" spans="1:24" ht="24.9" customHeight="1" x14ac:dyDescent="0.3">
      <c r="A26" s="19"/>
      <c r="B26" s="5" t="s">
        <v>113</v>
      </c>
      <c r="C26" s="12">
        <v>45092</v>
      </c>
      <c r="D26" s="28">
        <v>2</v>
      </c>
      <c r="E26" s="5">
        <v>-862.5</v>
      </c>
      <c r="F26" s="5"/>
      <c r="G26" s="5"/>
      <c r="H26" s="5">
        <f>E26*28%</f>
        <v>-241.50000000000003</v>
      </c>
      <c r="I26" s="5"/>
      <c r="J26" s="5"/>
      <c r="K26" s="5"/>
      <c r="L26" s="5"/>
      <c r="M26" s="5"/>
      <c r="N26" s="5"/>
      <c r="O26" s="5"/>
      <c r="P26" s="5">
        <f>E26+H26</f>
        <v>-1104</v>
      </c>
      <c r="Q26" s="20"/>
      <c r="R26" s="5"/>
      <c r="S26" s="5"/>
      <c r="T26" s="5"/>
      <c r="U26" s="5"/>
      <c r="V26" s="5"/>
      <c r="W26" s="25"/>
      <c r="X26" s="19"/>
    </row>
    <row r="27" spans="1:24" ht="24.9" customHeight="1" x14ac:dyDescent="0.3">
      <c r="A27" s="19"/>
      <c r="B27" s="5" t="s">
        <v>114</v>
      </c>
      <c r="C27" s="12">
        <v>45093</v>
      </c>
      <c r="D27" s="28">
        <v>3</v>
      </c>
      <c r="E27" s="5">
        <v>-546.88</v>
      </c>
      <c r="F27" s="5"/>
      <c r="G27" s="5"/>
      <c r="H27" s="5">
        <f>E27*28%</f>
        <v>-153.12640000000002</v>
      </c>
      <c r="I27" s="5"/>
      <c r="J27" s="5"/>
      <c r="K27" s="5"/>
      <c r="L27" s="5"/>
      <c r="M27" s="5"/>
      <c r="N27" s="5"/>
      <c r="O27" s="5"/>
      <c r="P27" s="5">
        <f>E27+H27</f>
        <v>-700.00639999999999</v>
      </c>
      <c r="Q27" s="20"/>
      <c r="R27" s="5"/>
      <c r="S27" s="5"/>
      <c r="T27" s="5"/>
      <c r="U27" s="5"/>
      <c r="V27" s="5"/>
      <c r="W27" s="25"/>
      <c r="X27" s="19"/>
    </row>
    <row r="28" spans="1:24" ht="24.9" customHeight="1" x14ac:dyDescent="0.3">
      <c r="A28" s="19"/>
      <c r="B28" s="5" t="s">
        <v>40</v>
      </c>
      <c r="C28" s="12">
        <v>45064</v>
      </c>
      <c r="D28" s="28">
        <v>3</v>
      </c>
      <c r="E28" s="5">
        <v>232968.71</v>
      </c>
      <c r="F28" s="5"/>
      <c r="G28" s="5">
        <f>E28</f>
        <v>232968.71</v>
      </c>
      <c r="H28" s="5">
        <f>G28*28%</f>
        <v>65231.238800000006</v>
      </c>
      <c r="I28" s="5">
        <f>G28+H28</f>
        <v>298199.94880000001</v>
      </c>
      <c r="J28" s="5"/>
      <c r="K28" s="5"/>
      <c r="L28" s="5"/>
      <c r="M28" s="5"/>
      <c r="N28" s="5"/>
      <c r="O28" s="5"/>
      <c r="P28" s="5">
        <f>I28</f>
        <v>298199.94880000001</v>
      </c>
      <c r="Q28" s="20"/>
      <c r="R28" s="5"/>
      <c r="S28" s="5"/>
      <c r="T28" s="5"/>
      <c r="U28" s="5"/>
      <c r="V28" s="5"/>
      <c r="W28" s="25"/>
      <c r="X28" s="19"/>
    </row>
    <row r="29" spans="1:24" ht="24.9" customHeight="1" x14ac:dyDescent="0.3">
      <c r="A29" s="19"/>
      <c r="B29" s="5" t="s">
        <v>40</v>
      </c>
      <c r="C29" s="12">
        <v>45265</v>
      </c>
      <c r="D29" s="28">
        <v>30</v>
      </c>
      <c r="E29" s="5">
        <v>239531.04</v>
      </c>
      <c r="F29" s="5"/>
      <c r="G29" s="5">
        <f>E29</f>
        <v>239531.04</v>
      </c>
      <c r="H29" s="5">
        <f>G29*28%</f>
        <v>67068.691200000016</v>
      </c>
      <c r="I29" s="5">
        <f>G29+H29</f>
        <v>306599.73120000004</v>
      </c>
      <c r="J29" s="5"/>
      <c r="K29" s="5"/>
      <c r="L29" s="5"/>
      <c r="M29" s="5"/>
      <c r="N29" s="5"/>
      <c r="O29" s="5"/>
      <c r="P29" s="5">
        <f>I29</f>
        <v>306599.73120000004</v>
      </c>
      <c r="Q29" s="20"/>
      <c r="R29" s="5"/>
      <c r="S29" s="5"/>
      <c r="T29" s="5"/>
      <c r="U29" s="5"/>
      <c r="V29" s="5"/>
      <c r="W29" s="25"/>
      <c r="X29" s="19"/>
    </row>
    <row r="30" spans="1:24" ht="24.9" customHeight="1" x14ac:dyDescent="0.3">
      <c r="A30" s="19"/>
      <c r="B30" s="5"/>
      <c r="C30" s="12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20"/>
      <c r="R30" s="5"/>
      <c r="S30" s="5"/>
      <c r="T30" s="5"/>
      <c r="U30" s="5"/>
      <c r="V30" s="5"/>
      <c r="W30" s="25"/>
      <c r="X30" s="19"/>
    </row>
    <row r="31" spans="1:24" ht="24.9" customHeight="1" x14ac:dyDescent="0.3">
      <c r="A31" s="19"/>
      <c r="B31" s="5"/>
      <c r="C31" s="12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20"/>
      <c r="R31" s="5"/>
      <c r="S31" s="5"/>
      <c r="T31" s="5"/>
      <c r="U31" s="5"/>
      <c r="V31" s="5"/>
      <c r="W31" s="25"/>
      <c r="X31" s="19"/>
    </row>
    <row r="32" spans="1:24" ht="24.9" customHeight="1" x14ac:dyDescent="0.3">
      <c r="A32" s="19"/>
      <c r="B32" s="5"/>
      <c r="C32" s="12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20"/>
      <c r="R32" s="5"/>
      <c r="S32" s="5"/>
      <c r="T32" s="5"/>
      <c r="U32" s="5"/>
      <c r="V32" s="5"/>
      <c r="W32" s="25"/>
      <c r="X32" s="19"/>
    </row>
    <row r="33" spans="1:24" s="40" customFormat="1" ht="24.9" customHeight="1" x14ac:dyDescent="0.3">
      <c r="A33" s="21"/>
      <c r="B33" s="10"/>
      <c r="C33" s="16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55">
        <f>A34</f>
        <v>54928</v>
      </c>
      <c r="R33" s="10"/>
      <c r="S33" s="10"/>
      <c r="T33" s="10"/>
      <c r="U33" s="10"/>
      <c r="V33" s="10"/>
      <c r="W33" s="21"/>
      <c r="X33" s="27">
        <f>SUM(P21:P32)-SUM(V21:V32)</f>
        <v>1162.9856000002474</v>
      </c>
    </row>
    <row r="34" spans="1:24" ht="24.9" customHeight="1" x14ac:dyDescent="0.3">
      <c r="A34" s="19">
        <v>54928</v>
      </c>
      <c r="B34" s="5" t="s">
        <v>45</v>
      </c>
      <c r="C34" s="12">
        <v>45016</v>
      </c>
      <c r="D34" s="5">
        <v>93</v>
      </c>
      <c r="E34" s="5">
        <v>676359.3</v>
      </c>
      <c r="F34" s="5">
        <v>206459.19999999998</v>
      </c>
      <c r="G34" s="5">
        <v>469900</v>
      </c>
      <c r="H34" s="5">
        <v>84582</v>
      </c>
      <c r="I34" s="5">
        <v>554482</v>
      </c>
      <c r="J34" s="5">
        <v>4699</v>
      </c>
      <c r="K34" s="5">
        <v>23495</v>
      </c>
      <c r="L34" s="5"/>
      <c r="M34" s="5">
        <v>46990</v>
      </c>
      <c r="N34" s="59">
        <v>84582</v>
      </c>
      <c r="O34" s="5"/>
      <c r="P34" s="5">
        <v>394716</v>
      </c>
      <c r="Q34" s="20"/>
      <c r="R34" s="5">
        <v>3675000</v>
      </c>
      <c r="S34" s="5" t="s">
        <v>46</v>
      </c>
      <c r="T34" s="5">
        <v>500000</v>
      </c>
      <c r="U34" s="5">
        <f>T34*2%</f>
        <v>10000</v>
      </c>
      <c r="V34" s="5">
        <f t="shared" ref="V34:V39" si="0">T34-U34</f>
        <v>490000</v>
      </c>
      <c r="W34" s="25" t="s">
        <v>47</v>
      </c>
      <c r="X34" s="19"/>
    </row>
    <row r="35" spans="1:24" ht="24.9" customHeight="1" x14ac:dyDescent="0.3">
      <c r="A35" s="19"/>
      <c r="B35" s="5" t="s">
        <v>45</v>
      </c>
      <c r="C35" s="12">
        <v>45107</v>
      </c>
      <c r="D35" s="5">
        <v>43</v>
      </c>
      <c r="E35" s="5">
        <v>676359.3</v>
      </c>
      <c r="F35" s="5">
        <v>297856.48</v>
      </c>
      <c r="G35" s="5">
        <v>378503</v>
      </c>
      <c r="H35" s="5">
        <v>68131</v>
      </c>
      <c r="I35" s="5">
        <v>446634</v>
      </c>
      <c r="J35" s="5">
        <v>3785</v>
      </c>
      <c r="K35" s="5">
        <v>18925</v>
      </c>
      <c r="L35" s="5"/>
      <c r="M35" s="5">
        <v>37850</v>
      </c>
      <c r="N35" s="59">
        <v>68131</v>
      </c>
      <c r="O35" s="5"/>
      <c r="P35" s="5">
        <v>307823</v>
      </c>
      <c r="Q35" s="20"/>
      <c r="R35" s="5"/>
      <c r="S35" s="5" t="s">
        <v>85</v>
      </c>
      <c r="T35" s="5">
        <v>214175</v>
      </c>
      <c r="U35" s="5">
        <v>0</v>
      </c>
      <c r="V35" s="5">
        <f t="shared" si="0"/>
        <v>214175</v>
      </c>
      <c r="W35" s="25" t="s">
        <v>64</v>
      </c>
      <c r="X35" s="19"/>
    </row>
    <row r="36" spans="1:24" ht="24.9" customHeight="1" x14ac:dyDescent="0.3">
      <c r="A36" s="19"/>
      <c r="B36" s="5" t="s">
        <v>48</v>
      </c>
      <c r="C36" s="12"/>
      <c r="D36" s="5"/>
      <c r="E36" s="5"/>
      <c r="F36" s="5"/>
      <c r="G36" s="5"/>
      <c r="H36" s="5"/>
      <c r="I36" s="5"/>
      <c r="J36" s="5"/>
      <c r="K36" s="5"/>
      <c r="L36" s="5"/>
      <c r="M36" s="5"/>
      <c r="N36" s="59"/>
      <c r="O36" s="5"/>
      <c r="P36" s="5">
        <v>-10120</v>
      </c>
      <c r="Q36" s="20"/>
      <c r="R36" s="5"/>
      <c r="S36" s="5" t="s">
        <v>86</v>
      </c>
      <c r="T36" s="5">
        <v>88902</v>
      </c>
      <c r="U36" s="5">
        <v>0</v>
      </c>
      <c r="V36" s="5">
        <f t="shared" si="0"/>
        <v>88902</v>
      </c>
      <c r="W36" s="25" t="s">
        <v>65</v>
      </c>
      <c r="X36" s="19"/>
    </row>
    <row r="37" spans="1:24" ht="24.9" customHeight="1" x14ac:dyDescent="0.3">
      <c r="A37" s="19"/>
      <c r="B37" s="5" t="s">
        <v>45</v>
      </c>
      <c r="C37" s="12">
        <v>45128</v>
      </c>
      <c r="D37" s="5">
        <v>53</v>
      </c>
      <c r="E37" s="5">
        <v>117229.91</v>
      </c>
      <c r="F37" s="5">
        <v>10120</v>
      </c>
      <c r="G37" s="5">
        <v>107110</v>
      </c>
      <c r="H37" s="5">
        <v>19280</v>
      </c>
      <c r="I37" s="5">
        <v>126390</v>
      </c>
      <c r="J37" s="5">
        <v>1071</v>
      </c>
      <c r="K37" s="5">
        <v>5356</v>
      </c>
      <c r="L37" s="5">
        <v>0</v>
      </c>
      <c r="M37" s="5">
        <v>10711</v>
      </c>
      <c r="N37" s="59">
        <v>19280</v>
      </c>
      <c r="O37" s="5"/>
      <c r="P37" s="5">
        <v>89972</v>
      </c>
      <c r="Q37" s="20"/>
      <c r="R37" s="5"/>
      <c r="S37" s="5" t="s">
        <v>102</v>
      </c>
      <c r="T37" s="5">
        <v>500000</v>
      </c>
      <c r="U37" s="5">
        <f>T37*2%</f>
        <v>10000</v>
      </c>
      <c r="V37" s="5">
        <f t="shared" si="0"/>
        <v>490000</v>
      </c>
      <c r="W37" s="29" t="s">
        <v>101</v>
      </c>
      <c r="X37" s="19"/>
    </row>
    <row r="38" spans="1:24" ht="24.9" customHeight="1" x14ac:dyDescent="0.3">
      <c r="A38" s="19"/>
      <c r="B38" s="23" t="s">
        <v>68</v>
      </c>
      <c r="C38" s="12">
        <v>45180</v>
      </c>
      <c r="D38" s="56">
        <v>93</v>
      </c>
      <c r="E38" s="5">
        <v>84582</v>
      </c>
      <c r="F38" s="5"/>
      <c r="G38" s="5">
        <f>ROUND(E38-F38,)</f>
        <v>84582</v>
      </c>
      <c r="H38" s="5">
        <v>0</v>
      </c>
      <c r="I38" s="5">
        <f>G38+H38</f>
        <v>84582</v>
      </c>
      <c r="J38" s="5"/>
      <c r="K38" s="5"/>
      <c r="L38" s="5"/>
      <c r="M38" s="5"/>
      <c r="N38" s="5">
        <f>H38</f>
        <v>0</v>
      </c>
      <c r="O38" s="5"/>
      <c r="P38" s="59">
        <f>G38-J38-K38-M38-N38</f>
        <v>84582</v>
      </c>
      <c r="Q38" s="20" t="s">
        <v>92</v>
      </c>
      <c r="R38" s="5">
        <f>R34-T36-T37-T38-T35-T34-T39</f>
        <v>1571923</v>
      </c>
      <c r="S38" s="5" t="s">
        <v>87</v>
      </c>
      <c r="T38" s="5">
        <v>300000</v>
      </c>
      <c r="U38" s="5">
        <f>T38*2%</f>
        <v>6000</v>
      </c>
      <c r="V38" s="5">
        <f t="shared" si="0"/>
        <v>294000</v>
      </c>
      <c r="W38" s="25" t="s">
        <v>84</v>
      </c>
      <c r="X38" s="19"/>
    </row>
    <row r="39" spans="1:24" ht="24.9" customHeight="1" x14ac:dyDescent="0.3">
      <c r="A39" s="19"/>
      <c r="B39" s="23" t="s">
        <v>68</v>
      </c>
      <c r="C39" s="12">
        <v>45180</v>
      </c>
      <c r="D39" s="5">
        <v>43</v>
      </c>
      <c r="E39" s="5">
        <v>68131</v>
      </c>
      <c r="F39" s="5"/>
      <c r="G39" s="5">
        <f>ROUND(E39-F39,)</f>
        <v>68131</v>
      </c>
      <c r="H39" s="5">
        <v>0</v>
      </c>
      <c r="I39" s="5">
        <f>G39+H39</f>
        <v>68131</v>
      </c>
      <c r="J39" s="5"/>
      <c r="K39" s="5"/>
      <c r="L39" s="5"/>
      <c r="M39" s="5"/>
      <c r="N39" s="5">
        <f>H39</f>
        <v>0</v>
      </c>
      <c r="O39" s="5"/>
      <c r="P39" s="59">
        <f>G39-J39-K39-M39-N39</f>
        <v>68131</v>
      </c>
      <c r="Q39" s="5">
        <v>0</v>
      </c>
      <c r="R39" s="5"/>
      <c r="S39" s="5" t="s">
        <v>108</v>
      </c>
      <c r="T39" s="5">
        <v>500000</v>
      </c>
      <c r="U39" s="5">
        <f>T39*2%</f>
        <v>10000</v>
      </c>
      <c r="V39" s="5">
        <f t="shared" si="0"/>
        <v>490000</v>
      </c>
      <c r="W39" s="25" t="s">
        <v>107</v>
      </c>
      <c r="X39" s="19"/>
    </row>
    <row r="40" spans="1:24" ht="24.9" customHeight="1" x14ac:dyDescent="0.3">
      <c r="A40" s="19"/>
      <c r="B40" s="23" t="s">
        <v>68</v>
      </c>
      <c r="C40" s="12">
        <v>45170</v>
      </c>
      <c r="D40" s="5">
        <v>53</v>
      </c>
      <c r="E40" s="5">
        <v>19280</v>
      </c>
      <c r="F40" s="5"/>
      <c r="G40" s="5">
        <f>ROUND(E40-F40,)</f>
        <v>19280</v>
      </c>
      <c r="H40" s="5">
        <v>0</v>
      </c>
      <c r="I40" s="5">
        <f>G40+H40</f>
        <v>19280</v>
      </c>
      <c r="J40" s="5"/>
      <c r="K40" s="5"/>
      <c r="L40" s="5"/>
      <c r="M40" s="5"/>
      <c r="N40" s="5">
        <f>H40</f>
        <v>0</v>
      </c>
      <c r="O40" s="5"/>
      <c r="P40" s="59">
        <f>G40-J40-K40-M40-N40</f>
        <v>19280</v>
      </c>
      <c r="Q40" s="5">
        <v>0</v>
      </c>
      <c r="R40" s="5"/>
      <c r="S40" s="5"/>
      <c r="T40" s="5"/>
      <c r="U40" s="5"/>
      <c r="V40" s="5"/>
      <c r="W40" s="25"/>
      <c r="X40" s="19"/>
    </row>
    <row r="41" spans="1:24" ht="24.9" customHeight="1" x14ac:dyDescent="0.3">
      <c r="A41" s="19"/>
      <c r="B41" s="23" t="s">
        <v>45</v>
      </c>
      <c r="C41" s="12">
        <v>45178</v>
      </c>
      <c r="D41" s="5">
        <v>72</v>
      </c>
      <c r="E41" s="5">
        <v>1102500</v>
      </c>
      <c r="F41" s="5">
        <v>664343</v>
      </c>
      <c r="G41" s="5">
        <f>ROUND(E41-F41,)</f>
        <v>438157</v>
      </c>
      <c r="H41" s="5">
        <f>G41*18%</f>
        <v>78868.259999999995</v>
      </c>
      <c r="I41" s="5">
        <f>G41+H41</f>
        <v>517025.26</v>
      </c>
      <c r="J41" s="5">
        <f>G41*1%</f>
        <v>4381.57</v>
      </c>
      <c r="K41" s="5">
        <f>G41*5%</f>
        <v>21907.850000000002</v>
      </c>
      <c r="L41" s="5"/>
      <c r="M41" s="5"/>
      <c r="N41" s="59">
        <f>H41</f>
        <v>78868.259999999995</v>
      </c>
      <c r="O41" s="5"/>
      <c r="P41" s="5">
        <f>I41-J41-K41-M41-N41</f>
        <v>411867.58</v>
      </c>
      <c r="Q41" s="5"/>
      <c r="R41" s="5"/>
      <c r="S41" s="5"/>
      <c r="T41" s="5"/>
      <c r="U41" s="5"/>
      <c r="V41" s="5"/>
      <c r="W41" s="25"/>
      <c r="X41" s="19"/>
    </row>
    <row r="42" spans="1:24" ht="24.9" customHeight="1" x14ac:dyDescent="0.3">
      <c r="A42" s="19"/>
      <c r="B42" s="23" t="s">
        <v>45</v>
      </c>
      <c r="C42" s="12">
        <v>45182</v>
      </c>
      <c r="D42" s="5">
        <v>83</v>
      </c>
      <c r="E42" s="5">
        <v>183750</v>
      </c>
      <c r="F42" s="5">
        <v>0</v>
      </c>
      <c r="G42" s="5">
        <f>ROUND(E42-F42,)</f>
        <v>183750</v>
      </c>
      <c r="H42" s="5">
        <f>G42*18%</f>
        <v>33075</v>
      </c>
      <c r="I42" s="5">
        <f>G42+H42</f>
        <v>216825</v>
      </c>
      <c r="J42" s="5">
        <f>G42*1%</f>
        <v>1837.5</v>
      </c>
      <c r="K42" s="5">
        <f>G42*5%</f>
        <v>9187.5</v>
      </c>
      <c r="L42" s="5"/>
      <c r="M42" s="5">
        <f>10%*G42</f>
        <v>18375</v>
      </c>
      <c r="N42" s="59">
        <f>H42</f>
        <v>33075</v>
      </c>
      <c r="O42" s="5"/>
      <c r="P42" s="59">
        <f>I42-J42-K42-M42-N42</f>
        <v>154350</v>
      </c>
      <c r="Q42" s="5"/>
      <c r="R42" s="5"/>
      <c r="S42" s="5"/>
      <c r="T42" s="5"/>
      <c r="U42" s="5"/>
      <c r="V42" s="5"/>
      <c r="W42" s="25"/>
      <c r="X42" s="19"/>
    </row>
    <row r="43" spans="1:24" ht="24.9" customHeight="1" x14ac:dyDescent="0.3">
      <c r="A43" s="19"/>
      <c r="B43" s="23" t="s">
        <v>68</v>
      </c>
      <c r="C43" s="12"/>
      <c r="D43" s="5" t="s">
        <v>116</v>
      </c>
      <c r="E43" s="5">
        <f>N41+N42</f>
        <v>111943.26</v>
      </c>
      <c r="F43" s="5"/>
      <c r="G43" s="5"/>
      <c r="H43" s="5"/>
      <c r="I43" s="5"/>
      <c r="J43" s="5"/>
      <c r="K43" s="5"/>
      <c r="L43" s="5"/>
      <c r="M43" s="5"/>
      <c r="N43" s="5"/>
      <c r="O43" s="5"/>
      <c r="P43" s="59">
        <f>E43</f>
        <v>111943.26</v>
      </c>
      <c r="Q43" s="5"/>
      <c r="R43" s="5"/>
      <c r="S43" s="5"/>
      <c r="T43" s="5"/>
      <c r="U43" s="5"/>
      <c r="V43" s="5"/>
      <c r="W43" s="25"/>
      <c r="X43" s="19"/>
    </row>
    <row r="44" spans="1:24" ht="24.9" customHeight="1" x14ac:dyDescent="0.3">
      <c r="A44" s="19"/>
      <c r="B44" s="23"/>
      <c r="C44" s="12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25"/>
      <c r="X44" s="19"/>
    </row>
    <row r="45" spans="1:24" ht="24.9" customHeight="1" x14ac:dyDescent="0.3">
      <c r="A45" s="19"/>
      <c r="B45" s="23"/>
      <c r="C45" s="12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25"/>
      <c r="X45" s="19"/>
    </row>
    <row r="46" spans="1:24" s="40" customFormat="1" ht="24.9" customHeight="1" x14ac:dyDescent="0.3">
      <c r="A46" s="21"/>
      <c r="B46" s="10"/>
      <c r="C46" s="16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55">
        <f>A47</f>
        <v>54927</v>
      </c>
      <c r="R46" s="10"/>
      <c r="S46" s="10"/>
      <c r="T46" s="10"/>
      <c r="U46" s="10"/>
      <c r="V46" s="10"/>
      <c r="W46" s="21"/>
      <c r="X46" s="27">
        <f>SUM(P34:P45)-SUM(V34:V45)</f>
        <v>-434532.15999999992</v>
      </c>
    </row>
    <row r="47" spans="1:24" ht="24.9" customHeight="1" x14ac:dyDescent="0.3">
      <c r="A47" s="19">
        <v>54927</v>
      </c>
      <c r="B47" s="5" t="s">
        <v>49</v>
      </c>
      <c r="C47" s="12">
        <v>45016</v>
      </c>
      <c r="D47" s="5">
        <v>94</v>
      </c>
      <c r="E47" s="5">
        <v>647911</v>
      </c>
      <c r="F47" s="5">
        <v>309661</v>
      </c>
      <c r="G47" s="5">
        <v>338250</v>
      </c>
      <c r="H47" s="5">
        <v>60885</v>
      </c>
      <c r="I47" s="5">
        <v>399135</v>
      </c>
      <c r="J47" s="5">
        <v>3383</v>
      </c>
      <c r="K47" s="5">
        <v>16913</v>
      </c>
      <c r="L47" s="5">
        <v>0</v>
      </c>
      <c r="M47" s="5">
        <v>33825</v>
      </c>
      <c r="N47" s="59">
        <v>60885</v>
      </c>
      <c r="O47" s="5"/>
      <c r="P47" s="5">
        <v>284129</v>
      </c>
      <c r="Q47" s="20"/>
      <c r="R47" s="5">
        <v>3671250</v>
      </c>
      <c r="S47" s="5" t="s">
        <v>95</v>
      </c>
      <c r="T47" s="5">
        <v>500000</v>
      </c>
      <c r="U47" s="5">
        <f t="shared" ref="U47:U52" si="1">T47*2%</f>
        <v>10000</v>
      </c>
      <c r="V47" s="5">
        <f t="shared" ref="V47:V52" si="2">T47-U47</f>
        <v>490000</v>
      </c>
      <c r="W47" s="25" t="s">
        <v>94</v>
      </c>
      <c r="X47" s="19"/>
    </row>
    <row r="48" spans="1:24" ht="24.9" customHeight="1" x14ac:dyDescent="0.3">
      <c r="A48" s="19"/>
      <c r="B48" s="5" t="s">
        <v>68</v>
      </c>
      <c r="C48" s="12">
        <v>45180</v>
      </c>
      <c r="D48" s="5">
        <v>93</v>
      </c>
      <c r="E48" s="5">
        <f>N47</f>
        <v>60885</v>
      </c>
      <c r="F48" s="5"/>
      <c r="G48" s="5"/>
      <c r="H48" s="5"/>
      <c r="I48" s="5"/>
      <c r="J48" s="5"/>
      <c r="K48" s="5"/>
      <c r="L48" s="5"/>
      <c r="M48" s="5"/>
      <c r="N48" s="5"/>
      <c r="O48" s="5"/>
      <c r="P48" s="59">
        <f>E48</f>
        <v>60885</v>
      </c>
      <c r="Q48" s="20"/>
      <c r="R48" s="5"/>
      <c r="S48" s="5" t="s">
        <v>82</v>
      </c>
      <c r="T48" s="5">
        <v>500000</v>
      </c>
      <c r="U48" s="5">
        <f t="shared" si="1"/>
        <v>10000</v>
      </c>
      <c r="V48" s="5">
        <f t="shared" si="2"/>
        <v>490000</v>
      </c>
      <c r="W48" s="25" t="s">
        <v>93</v>
      </c>
      <c r="X48" s="19"/>
    </row>
    <row r="49" spans="1:24" ht="24.9" customHeight="1" x14ac:dyDescent="0.3">
      <c r="A49" s="19"/>
      <c r="B49" s="23" t="s">
        <v>49</v>
      </c>
      <c r="C49" s="15">
        <v>45178</v>
      </c>
      <c r="D49" s="56">
        <v>74</v>
      </c>
      <c r="E49" s="5">
        <v>734250</v>
      </c>
      <c r="F49" s="5">
        <v>647911</v>
      </c>
      <c r="G49" s="5">
        <f>ROUND(E49-F49,)</f>
        <v>86339</v>
      </c>
      <c r="H49" s="5">
        <f>ROUND(G49*$H$7,0)</f>
        <v>15541</v>
      </c>
      <c r="I49" s="5">
        <f>G49+H49</f>
        <v>101880</v>
      </c>
      <c r="J49" s="5">
        <f>ROUND(G49*$J$7,)</f>
        <v>863</v>
      </c>
      <c r="K49" s="5">
        <f>ROUND(G49*$K$7,)</f>
        <v>4317</v>
      </c>
      <c r="L49" s="5">
        <f>ROUND(G49*$L$7,)</f>
        <v>0</v>
      </c>
      <c r="M49" s="5">
        <v>0</v>
      </c>
      <c r="N49" s="59">
        <f>H49</f>
        <v>15541</v>
      </c>
      <c r="O49" s="5"/>
      <c r="P49" s="5">
        <f>ROUND(I49-SUM(J49:N49),0)</f>
        <v>81159</v>
      </c>
      <c r="Q49" s="20"/>
      <c r="R49" s="5"/>
      <c r="S49" s="5" t="s">
        <v>82</v>
      </c>
      <c r="T49" s="5">
        <v>500000</v>
      </c>
      <c r="U49" s="5">
        <f t="shared" si="1"/>
        <v>10000</v>
      </c>
      <c r="V49" s="5">
        <f t="shared" si="2"/>
        <v>490000</v>
      </c>
      <c r="W49" s="25" t="s">
        <v>81</v>
      </c>
      <c r="X49" s="19"/>
    </row>
    <row r="50" spans="1:24" ht="24.9" customHeight="1" x14ac:dyDescent="0.3">
      <c r="A50" s="19"/>
      <c r="B50" s="5" t="s">
        <v>49</v>
      </c>
      <c r="C50" s="15">
        <v>45213</v>
      </c>
      <c r="D50" s="56">
        <v>89</v>
      </c>
      <c r="E50" s="5">
        <v>367125</v>
      </c>
      <c r="F50" s="5">
        <v>127766.16</v>
      </c>
      <c r="G50" s="5">
        <f>ROUND(E50-F50,)</f>
        <v>239359</v>
      </c>
      <c r="H50" s="5">
        <f>G50*18%</f>
        <v>43084.619999999995</v>
      </c>
      <c r="I50" s="5">
        <f>G50+H50</f>
        <v>282443.62</v>
      </c>
      <c r="J50" s="5">
        <f>ROUND(G50*$J$7,)</f>
        <v>2394</v>
      </c>
      <c r="K50" s="5">
        <f>ROUND(G50*$K$7,)</f>
        <v>11968</v>
      </c>
      <c r="L50" s="5">
        <f>ROUND(G50*$L$7,)</f>
        <v>0</v>
      </c>
      <c r="M50" s="5">
        <f>G50*10%</f>
        <v>23935.9</v>
      </c>
      <c r="N50" s="59">
        <f>H50</f>
        <v>43084.619999999995</v>
      </c>
      <c r="O50" s="5"/>
      <c r="P50" s="5">
        <f>ROUND(I50-SUM(J50:N50),0)</f>
        <v>201061</v>
      </c>
      <c r="Q50" s="20"/>
      <c r="R50" s="5"/>
      <c r="S50" s="5" t="s">
        <v>100</v>
      </c>
      <c r="T50" s="5">
        <v>500000</v>
      </c>
      <c r="U50" s="5">
        <f t="shared" si="1"/>
        <v>10000</v>
      </c>
      <c r="V50" s="5">
        <f t="shared" si="2"/>
        <v>490000</v>
      </c>
      <c r="W50" s="25" t="s">
        <v>99</v>
      </c>
      <c r="X50" s="19"/>
    </row>
    <row r="51" spans="1:24" ht="24.9" customHeight="1" x14ac:dyDescent="0.3">
      <c r="A51" s="19"/>
      <c r="B51" s="5" t="s">
        <v>49</v>
      </c>
      <c r="C51" s="15">
        <v>45240</v>
      </c>
      <c r="D51" s="56">
        <v>98</v>
      </c>
      <c r="E51" s="5">
        <v>367125</v>
      </c>
      <c r="F51" s="5">
        <v>78292</v>
      </c>
      <c r="G51" s="5">
        <f>ROUND(E51-F51,)</f>
        <v>288833</v>
      </c>
      <c r="H51" s="5">
        <f>G51*18%</f>
        <v>51989.939999999995</v>
      </c>
      <c r="I51" s="5">
        <f>G51+H51</f>
        <v>340822.94</v>
      </c>
      <c r="J51" s="5">
        <f>ROUND(G51*$J$7,)</f>
        <v>2888</v>
      </c>
      <c r="K51" s="5">
        <f>ROUND(G51*$K$7,)</f>
        <v>14442</v>
      </c>
      <c r="L51" s="5">
        <f>ROUND(G51*$L$7,)</f>
        <v>0</v>
      </c>
      <c r="M51" s="5">
        <f>G51*10%</f>
        <v>28883.300000000003</v>
      </c>
      <c r="N51" s="5">
        <f>H51</f>
        <v>51989.939999999995</v>
      </c>
      <c r="O51" s="5"/>
      <c r="P51" s="5">
        <f>ROUND(I51-SUM(J51:N51),0)</f>
        <v>242620</v>
      </c>
      <c r="Q51" s="20" t="s">
        <v>92</v>
      </c>
      <c r="R51" s="5">
        <f>R47-T49-T50-T51-T48-T47-T52</f>
        <v>371250</v>
      </c>
      <c r="S51" s="5" t="s">
        <v>105</v>
      </c>
      <c r="T51" s="5">
        <v>1000000</v>
      </c>
      <c r="U51" s="5">
        <f t="shared" si="1"/>
        <v>20000</v>
      </c>
      <c r="V51" s="5">
        <f t="shared" si="2"/>
        <v>980000</v>
      </c>
      <c r="W51" s="25" t="s">
        <v>103</v>
      </c>
      <c r="X51" s="19"/>
    </row>
    <row r="52" spans="1:24" ht="24.9" customHeight="1" x14ac:dyDescent="0.3">
      <c r="A52" s="19"/>
      <c r="B52" s="15" t="s">
        <v>111</v>
      </c>
      <c r="C52" s="15"/>
      <c r="D52" s="58" t="s">
        <v>115</v>
      </c>
      <c r="E52" s="5">
        <f>N49+N50</f>
        <v>58625.619999999995</v>
      </c>
      <c r="F52" s="5"/>
      <c r="G52" s="15"/>
      <c r="H52" s="5"/>
      <c r="I52" s="5"/>
      <c r="J52" s="5"/>
      <c r="K52" s="5"/>
      <c r="L52" s="5"/>
      <c r="M52" s="5"/>
      <c r="N52" s="5"/>
      <c r="O52" s="5"/>
      <c r="P52" s="59">
        <f>E52</f>
        <v>58625.619999999995</v>
      </c>
      <c r="Q52" s="20"/>
      <c r="R52" s="5"/>
      <c r="S52" s="5" t="s">
        <v>106</v>
      </c>
      <c r="T52" s="5">
        <v>300000</v>
      </c>
      <c r="U52" s="5">
        <f t="shared" si="1"/>
        <v>6000</v>
      </c>
      <c r="V52" s="5">
        <f t="shared" si="2"/>
        <v>294000</v>
      </c>
      <c r="W52" s="25" t="s">
        <v>104</v>
      </c>
      <c r="X52" s="19"/>
    </row>
    <row r="53" spans="1:24" ht="24.9" customHeight="1" x14ac:dyDescent="0.3">
      <c r="A53" s="19"/>
      <c r="B53" s="15"/>
      <c r="C53" s="15"/>
      <c r="D53" s="58"/>
      <c r="E53" s="5"/>
      <c r="F53" s="5"/>
      <c r="G53" s="15"/>
      <c r="H53" s="5"/>
      <c r="I53" s="5"/>
      <c r="J53" s="5"/>
      <c r="K53" s="5"/>
      <c r="L53" s="5"/>
      <c r="M53" s="5"/>
      <c r="N53" s="5"/>
      <c r="O53" s="5"/>
      <c r="P53" s="5"/>
      <c r="Q53" s="20"/>
      <c r="R53" s="5"/>
      <c r="S53" s="5"/>
      <c r="T53" s="5"/>
      <c r="U53" s="5"/>
      <c r="V53" s="5"/>
      <c r="W53" s="25"/>
      <c r="X53" s="19"/>
    </row>
    <row r="54" spans="1:24" ht="24.9" customHeight="1" x14ac:dyDescent="0.3">
      <c r="A54" s="19"/>
      <c r="B54" s="15"/>
      <c r="C54" s="15"/>
      <c r="D54" s="58"/>
      <c r="E54" s="5"/>
      <c r="F54" s="5"/>
      <c r="G54" s="15"/>
      <c r="H54" s="5"/>
      <c r="I54" s="5"/>
      <c r="J54" s="5"/>
      <c r="K54" s="5"/>
      <c r="L54" s="5"/>
      <c r="M54" s="5"/>
      <c r="N54" s="5"/>
      <c r="O54" s="5"/>
      <c r="P54" s="5"/>
      <c r="Q54" s="20"/>
      <c r="R54" s="5"/>
      <c r="S54" s="5"/>
      <c r="T54" s="5"/>
      <c r="U54" s="5"/>
      <c r="V54" s="5"/>
      <c r="W54" s="25"/>
      <c r="X54" s="19"/>
    </row>
    <row r="55" spans="1:24" ht="24.9" customHeight="1" x14ac:dyDescent="0.3">
      <c r="A55" s="19"/>
      <c r="B55" s="15"/>
      <c r="C55" s="15"/>
      <c r="D55" s="58"/>
      <c r="E55" s="5"/>
      <c r="F55" s="5"/>
      <c r="G55" s="15"/>
      <c r="H55" s="5"/>
      <c r="I55" s="5"/>
      <c r="J55" s="5"/>
      <c r="K55" s="5"/>
      <c r="L55" s="5"/>
      <c r="M55" s="5"/>
      <c r="N55" s="5"/>
      <c r="O55" s="5"/>
      <c r="P55" s="5"/>
      <c r="Q55" s="20"/>
      <c r="R55" s="5"/>
      <c r="S55" s="5"/>
      <c r="T55" s="5"/>
      <c r="U55" s="5"/>
      <c r="V55" s="5"/>
      <c r="W55" s="25"/>
      <c r="X55" s="19"/>
    </row>
    <row r="56" spans="1:24" ht="24.9" customHeight="1" x14ac:dyDescent="0.3">
      <c r="A56" s="19"/>
      <c r="B56" s="15"/>
      <c r="C56" s="15"/>
      <c r="D56" s="58"/>
      <c r="E56" s="5"/>
      <c r="F56" s="5"/>
      <c r="G56" s="15"/>
      <c r="H56" s="5"/>
      <c r="I56" s="5"/>
      <c r="J56" s="5"/>
      <c r="K56" s="5"/>
      <c r="L56" s="5"/>
      <c r="M56" s="5"/>
      <c r="N56" s="5"/>
      <c r="O56" s="5"/>
      <c r="P56" s="5"/>
      <c r="Q56" s="20"/>
      <c r="R56" s="5"/>
      <c r="S56" s="5"/>
      <c r="T56" s="5"/>
      <c r="U56" s="5"/>
      <c r="V56" s="5"/>
      <c r="W56" s="25"/>
      <c r="X56" s="19"/>
    </row>
    <row r="57" spans="1:24" s="40" customFormat="1" ht="24.9" customHeight="1" x14ac:dyDescent="0.3">
      <c r="A57" s="21"/>
      <c r="B57" s="10"/>
      <c r="C57" s="16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55">
        <f>A58</f>
        <v>54926</v>
      </c>
      <c r="R57" s="10"/>
      <c r="S57" s="10"/>
      <c r="T57" s="10"/>
      <c r="U57" s="10"/>
      <c r="V57" s="10"/>
      <c r="W57" s="21"/>
      <c r="X57" s="27">
        <f>SUM(P47:P56)-SUM(V47:V56)</f>
        <v>-2305520.38</v>
      </c>
    </row>
    <row r="58" spans="1:24" ht="24.9" customHeight="1" x14ac:dyDescent="0.3">
      <c r="A58" s="19">
        <v>54926</v>
      </c>
      <c r="B58" s="5" t="s">
        <v>50</v>
      </c>
      <c r="C58" s="12">
        <v>45016</v>
      </c>
      <c r="D58" s="5">
        <v>95</v>
      </c>
      <c r="E58" s="5">
        <v>691898</v>
      </c>
      <c r="F58" s="5">
        <v>406398</v>
      </c>
      <c r="G58" s="5">
        <f>E58-F58</f>
        <v>285500</v>
      </c>
      <c r="H58" s="5">
        <f>G58*18%</f>
        <v>51390</v>
      </c>
      <c r="I58" s="5">
        <v>399135</v>
      </c>
      <c r="J58" s="5">
        <v>3383</v>
      </c>
      <c r="K58" s="5">
        <v>16913</v>
      </c>
      <c r="L58" s="5">
        <v>0</v>
      </c>
      <c r="M58" s="5">
        <v>33825</v>
      </c>
      <c r="N58" s="59">
        <v>60885</v>
      </c>
      <c r="O58" s="5"/>
      <c r="P58" s="5">
        <f>G58-J58-M58</f>
        <v>248292</v>
      </c>
      <c r="Q58" s="20" t="s">
        <v>98</v>
      </c>
      <c r="R58" s="5">
        <v>3981250</v>
      </c>
      <c r="S58" s="5" t="s">
        <v>51</v>
      </c>
      <c r="T58" s="5">
        <v>280747</v>
      </c>
      <c r="U58" s="5">
        <v>0</v>
      </c>
      <c r="V58" s="5">
        <f>T58-U58</f>
        <v>280747</v>
      </c>
      <c r="W58" s="25" t="s">
        <v>52</v>
      </c>
      <c r="X58" s="19"/>
    </row>
    <row r="59" spans="1:24" ht="24.9" customHeight="1" x14ac:dyDescent="0.3">
      <c r="A59" s="19"/>
      <c r="B59" s="5" t="s">
        <v>68</v>
      </c>
      <c r="C59" s="12">
        <v>45180</v>
      </c>
      <c r="D59" s="5">
        <v>95</v>
      </c>
      <c r="E59" s="5">
        <f>N58</f>
        <v>60885</v>
      </c>
      <c r="F59" s="5"/>
      <c r="G59" s="5"/>
      <c r="H59" s="5"/>
      <c r="I59" s="5"/>
      <c r="J59" s="5"/>
      <c r="K59" s="5"/>
      <c r="L59" s="5"/>
      <c r="M59" s="5"/>
      <c r="N59" s="5"/>
      <c r="O59" s="5"/>
      <c r="P59" s="59">
        <f>E59</f>
        <v>60885</v>
      </c>
      <c r="Q59" s="20"/>
      <c r="R59" s="5"/>
      <c r="S59" s="5" t="s">
        <v>83</v>
      </c>
      <c r="T59" s="5">
        <v>500000</v>
      </c>
      <c r="U59" s="5">
        <f>T59*2%</f>
        <v>10000</v>
      </c>
      <c r="V59" s="5">
        <f>T59-U59</f>
        <v>490000</v>
      </c>
      <c r="W59" s="25" t="s">
        <v>80</v>
      </c>
      <c r="X59" s="19"/>
    </row>
    <row r="60" spans="1:24" ht="24.9" customHeight="1" x14ac:dyDescent="0.3">
      <c r="A60" s="19"/>
      <c r="B60" s="5" t="s">
        <v>50</v>
      </c>
      <c r="C60" s="12">
        <v>45016</v>
      </c>
      <c r="D60" s="5">
        <v>73</v>
      </c>
      <c r="E60" s="5">
        <v>796250</v>
      </c>
      <c r="F60" s="5">
        <v>691901</v>
      </c>
      <c r="G60" s="5">
        <f>E60-F60</f>
        <v>104349</v>
      </c>
      <c r="H60" s="5">
        <f>G60*18%</f>
        <v>18782.82</v>
      </c>
      <c r="I60" s="5">
        <f>G60+H60</f>
        <v>123131.82</v>
      </c>
      <c r="J60" s="5">
        <f>1%*G60</f>
        <v>1043.49</v>
      </c>
      <c r="K60" s="5">
        <f>5%*G60</f>
        <v>5217.4500000000007</v>
      </c>
      <c r="L60" s="5">
        <v>0</v>
      </c>
      <c r="M60" s="5">
        <v>0</v>
      </c>
      <c r="N60" s="59">
        <f>H60</f>
        <v>18782.82</v>
      </c>
      <c r="O60" s="5"/>
      <c r="P60" s="5">
        <f>G60-J60-K60</f>
        <v>98088.06</v>
      </c>
      <c r="Q60" s="20"/>
      <c r="R60" s="5"/>
      <c r="S60" s="5" t="s">
        <v>96</v>
      </c>
      <c r="T60" s="5">
        <v>500000</v>
      </c>
      <c r="U60" s="5">
        <f>T60*2%</f>
        <v>10000</v>
      </c>
      <c r="V60" s="5">
        <f>T60-U60</f>
        <v>490000</v>
      </c>
      <c r="W60" s="25" t="s">
        <v>97</v>
      </c>
      <c r="X60" s="19"/>
    </row>
    <row r="61" spans="1:24" ht="24.9" customHeight="1" x14ac:dyDescent="0.3">
      <c r="A61" s="19"/>
      <c r="B61" s="5" t="s">
        <v>50</v>
      </c>
      <c r="C61" s="12">
        <v>45016</v>
      </c>
      <c r="D61" s="5">
        <v>82</v>
      </c>
      <c r="E61" s="5">
        <v>796250</v>
      </c>
      <c r="F61" s="5">
        <v>208428</v>
      </c>
      <c r="G61" s="5">
        <f>E61-F61</f>
        <v>587822</v>
      </c>
      <c r="H61" s="5">
        <f>G61*18%</f>
        <v>105807.95999999999</v>
      </c>
      <c r="I61" s="5">
        <f>G61+H61</f>
        <v>693629.96</v>
      </c>
      <c r="J61" s="5">
        <f>1%*G61</f>
        <v>5878.22</v>
      </c>
      <c r="K61" s="5">
        <f>5%*G61</f>
        <v>29391.100000000002</v>
      </c>
      <c r="L61" s="5">
        <v>0</v>
      </c>
      <c r="M61" s="5">
        <f>10%*G61</f>
        <v>58782.200000000004</v>
      </c>
      <c r="N61" s="59">
        <f>H61</f>
        <v>105807.95999999999</v>
      </c>
      <c r="O61" s="5">
        <v>79625</v>
      </c>
      <c r="P61" s="5">
        <f>G61-J61-K61-O61-M61</f>
        <v>414145.48000000004</v>
      </c>
      <c r="Q61" s="20"/>
      <c r="R61" s="5"/>
      <c r="S61" s="5"/>
      <c r="T61" s="5"/>
      <c r="U61" s="5"/>
      <c r="V61" s="5"/>
      <c r="W61" s="25"/>
      <c r="X61" s="19"/>
    </row>
    <row r="62" spans="1:24" ht="24.9" customHeight="1" x14ac:dyDescent="0.3">
      <c r="A62" s="19"/>
      <c r="B62" s="5" t="s">
        <v>68</v>
      </c>
      <c r="C62" s="12"/>
      <c r="D62" s="5" t="s">
        <v>110</v>
      </c>
      <c r="E62" s="5">
        <f>N60+N61</f>
        <v>124590.78</v>
      </c>
      <c r="F62" s="5"/>
      <c r="G62" s="5"/>
      <c r="H62" s="5"/>
      <c r="I62" s="5"/>
      <c r="J62" s="5"/>
      <c r="K62" s="5"/>
      <c r="L62" s="5"/>
      <c r="M62" s="5"/>
      <c r="N62" s="5"/>
      <c r="O62" s="5"/>
      <c r="P62" s="59">
        <f>E62</f>
        <v>124590.78</v>
      </c>
      <c r="Q62" s="20" t="s">
        <v>92</v>
      </c>
      <c r="R62" s="5">
        <f>R58-T60-T61-T62-T59-T58</f>
        <v>2700503</v>
      </c>
      <c r="S62" s="5"/>
      <c r="T62" s="5"/>
      <c r="U62" s="5"/>
      <c r="V62" s="5"/>
      <c r="W62" s="25"/>
      <c r="X62" s="19"/>
    </row>
    <row r="63" spans="1:24" ht="24.9" customHeight="1" x14ac:dyDescent="0.3">
      <c r="A63" s="19"/>
      <c r="B63" s="5"/>
      <c r="C63" s="12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20"/>
      <c r="R63" s="5"/>
      <c r="S63" s="5"/>
      <c r="T63" s="5"/>
      <c r="U63" s="5"/>
      <c r="V63" s="5"/>
      <c r="W63" s="25"/>
      <c r="X63" s="19"/>
    </row>
    <row r="64" spans="1:24" s="40" customFormat="1" ht="24.9" customHeight="1" x14ac:dyDescent="0.3">
      <c r="A64" s="21"/>
      <c r="B64" s="10"/>
      <c r="C64" s="16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55">
        <f>A65</f>
        <v>54842</v>
      </c>
      <c r="R64" s="10"/>
      <c r="S64" s="10"/>
      <c r="T64" s="10"/>
      <c r="U64" s="10"/>
      <c r="V64" s="10"/>
      <c r="W64" s="21"/>
      <c r="X64" s="27">
        <f>SUM(P58:P63)-SUM(V58:V63)</f>
        <v>-314745.67999999993</v>
      </c>
    </row>
    <row r="65" spans="1:24" ht="24.9" customHeight="1" x14ac:dyDescent="0.3">
      <c r="A65" s="19">
        <v>54842</v>
      </c>
      <c r="B65" s="23" t="s">
        <v>53</v>
      </c>
      <c r="C65" s="12"/>
      <c r="D65" s="5"/>
      <c r="E65" s="5">
        <v>0</v>
      </c>
      <c r="F65" s="5">
        <v>0</v>
      </c>
      <c r="G65" s="5">
        <v>0</v>
      </c>
      <c r="H65" s="5">
        <v>0</v>
      </c>
      <c r="I65" s="5">
        <v>0</v>
      </c>
      <c r="J65" s="5">
        <v>0</v>
      </c>
      <c r="K65" s="5">
        <v>0</v>
      </c>
      <c r="L65" s="5">
        <v>0</v>
      </c>
      <c r="M65" s="5">
        <v>0</v>
      </c>
      <c r="N65" s="5">
        <v>0</v>
      </c>
      <c r="O65" s="5"/>
      <c r="P65" s="5">
        <v>0</v>
      </c>
      <c r="Q65" s="20"/>
      <c r="R65" s="5">
        <v>2850000</v>
      </c>
      <c r="S65" s="5" t="s">
        <v>54</v>
      </c>
      <c r="T65" s="5">
        <v>300000</v>
      </c>
      <c r="U65" s="5">
        <f>T65*2%</f>
        <v>6000</v>
      </c>
      <c r="V65" s="5">
        <f>T65-U65</f>
        <v>294000</v>
      </c>
      <c r="W65" s="25" t="s">
        <v>55</v>
      </c>
      <c r="X65" s="19"/>
    </row>
    <row r="66" spans="1:24" ht="24.9" customHeight="1" x14ac:dyDescent="0.3">
      <c r="A66" s="19"/>
      <c r="B66" s="5"/>
      <c r="C66" s="12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20"/>
      <c r="R66" s="5"/>
      <c r="S66" s="5"/>
      <c r="T66" s="5"/>
      <c r="U66" s="5"/>
      <c r="V66" s="5"/>
      <c r="W66" s="25"/>
      <c r="X66" s="19"/>
    </row>
    <row r="67" spans="1:24" ht="24.9" customHeight="1" x14ac:dyDescent="0.3">
      <c r="A67" s="19"/>
      <c r="B67" s="5"/>
      <c r="C67" s="12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20" t="s">
        <v>92</v>
      </c>
      <c r="R67" s="5">
        <f>R65-T65-T66-T67</f>
        <v>2550000</v>
      </c>
      <c r="S67" s="5"/>
      <c r="T67" s="5"/>
      <c r="U67" s="5"/>
      <c r="V67" s="5"/>
      <c r="W67" s="25"/>
      <c r="X67" s="19"/>
    </row>
    <row r="68" spans="1:24" s="40" customFormat="1" ht="24.9" customHeight="1" x14ac:dyDescent="0.3">
      <c r="A68" s="21"/>
      <c r="B68" s="10"/>
      <c r="C68" s="16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55">
        <f>A69</f>
        <v>54841</v>
      </c>
      <c r="R68" s="10"/>
      <c r="S68" s="10"/>
      <c r="T68" s="10"/>
      <c r="U68" s="10"/>
      <c r="V68" s="10"/>
      <c r="W68" s="21"/>
      <c r="X68" s="27">
        <f>SUM(P65:P67)-SUM(V65:V67)</f>
        <v>-294000</v>
      </c>
    </row>
    <row r="69" spans="1:24" ht="24.9" customHeight="1" x14ac:dyDescent="0.3">
      <c r="A69" s="19">
        <v>54841</v>
      </c>
      <c r="B69" s="5" t="s">
        <v>77</v>
      </c>
      <c r="C69" s="15">
        <v>45183</v>
      </c>
      <c r="D69" s="5">
        <v>84</v>
      </c>
      <c r="E69" s="5">
        <v>199062</v>
      </c>
      <c r="F69" s="5">
        <v>0</v>
      </c>
      <c r="G69" s="5">
        <f>E69-F69</f>
        <v>199062</v>
      </c>
      <c r="H69" s="5">
        <f>G69*18%</f>
        <v>35831.159999999996</v>
      </c>
      <c r="I69" s="5">
        <f>G69+H69</f>
        <v>234893.16</v>
      </c>
      <c r="J69" s="5">
        <f>1%*G69</f>
        <v>1990.6200000000001</v>
      </c>
      <c r="K69" s="5">
        <f>5%*G69</f>
        <v>9953.1</v>
      </c>
      <c r="L69" s="5">
        <v>0</v>
      </c>
      <c r="M69" s="5">
        <v>0</v>
      </c>
      <c r="N69" s="59">
        <f>H69</f>
        <v>35831.159999999996</v>
      </c>
      <c r="O69" s="5">
        <v>0</v>
      </c>
      <c r="P69" s="5">
        <f>G69-J69-K69-O69-M69</f>
        <v>187118.28</v>
      </c>
      <c r="Q69" s="20"/>
      <c r="R69" s="5">
        <v>3981250</v>
      </c>
      <c r="S69" s="5" t="s">
        <v>56</v>
      </c>
      <c r="T69" s="5">
        <v>300000</v>
      </c>
      <c r="U69" s="5">
        <f>T69*2%</f>
        <v>6000</v>
      </c>
      <c r="V69" s="5">
        <f>T69-U69</f>
        <v>294000</v>
      </c>
      <c r="W69" s="25" t="s">
        <v>57</v>
      </c>
      <c r="X69" s="19"/>
    </row>
    <row r="70" spans="1:24" ht="24.9" customHeight="1" x14ac:dyDescent="0.3">
      <c r="A70" s="19"/>
      <c r="B70" s="5" t="s">
        <v>77</v>
      </c>
      <c r="C70" s="15">
        <v>45209</v>
      </c>
      <c r="D70" s="5">
        <v>88</v>
      </c>
      <c r="E70" s="5">
        <v>398125</v>
      </c>
      <c r="F70" s="5">
        <v>115222</v>
      </c>
      <c r="G70" s="5">
        <f>E70-F70</f>
        <v>282903</v>
      </c>
      <c r="H70" s="5">
        <f>G70*18%</f>
        <v>50922.54</v>
      </c>
      <c r="I70" s="5">
        <f>G70+H70</f>
        <v>333825.53999999998</v>
      </c>
      <c r="J70" s="5">
        <f>1%*G70</f>
        <v>2829.03</v>
      </c>
      <c r="K70" s="5">
        <f>5%*G70</f>
        <v>14145.150000000001</v>
      </c>
      <c r="L70" s="5">
        <v>0</v>
      </c>
      <c r="M70" s="5">
        <v>0</v>
      </c>
      <c r="N70" s="59">
        <f>H70</f>
        <v>50922.54</v>
      </c>
      <c r="O70" s="5">
        <v>0</v>
      </c>
      <c r="P70" s="5">
        <f>G70-J70-K70-O70-M70</f>
        <v>265928.81999999995</v>
      </c>
      <c r="Q70" s="20"/>
      <c r="R70" s="5"/>
      <c r="S70" s="5" t="s">
        <v>79</v>
      </c>
      <c r="T70" s="5">
        <v>1000000</v>
      </c>
      <c r="U70" s="5">
        <f>T70*2%</f>
        <v>20000</v>
      </c>
      <c r="V70" s="5">
        <f>T70-U70</f>
        <v>980000</v>
      </c>
      <c r="W70" s="25" t="s">
        <v>78</v>
      </c>
      <c r="X70" s="19"/>
    </row>
    <row r="71" spans="1:24" ht="24.9" customHeight="1" x14ac:dyDescent="0.3">
      <c r="A71" s="19"/>
      <c r="B71" s="5" t="s">
        <v>68</v>
      </c>
      <c r="C71" s="15"/>
      <c r="D71" s="5" t="s">
        <v>109</v>
      </c>
      <c r="E71" s="5">
        <f>N69+N70</f>
        <v>86753.7</v>
      </c>
      <c r="F71" s="5"/>
      <c r="G71" s="5"/>
      <c r="H71" s="5"/>
      <c r="I71" s="5"/>
      <c r="J71" s="5"/>
      <c r="K71" s="5"/>
      <c r="L71" s="5"/>
      <c r="M71" s="5"/>
      <c r="N71" s="5"/>
      <c r="O71" s="5"/>
      <c r="P71" s="59">
        <f>E71</f>
        <v>86753.7</v>
      </c>
      <c r="Q71" s="20"/>
      <c r="R71" s="5"/>
      <c r="S71" s="5" t="s">
        <v>91</v>
      </c>
      <c r="T71" s="5">
        <v>200000</v>
      </c>
      <c r="U71" s="5">
        <f>T71*2%</f>
        <v>4000</v>
      </c>
      <c r="V71" s="5">
        <f>T71-U71</f>
        <v>196000</v>
      </c>
      <c r="W71" s="25" t="s">
        <v>90</v>
      </c>
      <c r="X71" s="19"/>
    </row>
    <row r="72" spans="1:24" ht="24.9" customHeight="1" x14ac:dyDescent="0.3">
      <c r="A72" s="19"/>
      <c r="B72" s="5"/>
      <c r="C72" s="1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20" t="s">
        <v>92</v>
      </c>
      <c r="R72" s="5">
        <f>R69-T69-T70-T71-T72</f>
        <v>2481250</v>
      </c>
      <c r="S72" s="5"/>
      <c r="T72" s="5"/>
      <c r="U72" s="5"/>
      <c r="V72" s="5"/>
      <c r="W72" s="25"/>
      <c r="X72" s="19"/>
    </row>
    <row r="73" spans="1:24" ht="24.9" customHeight="1" x14ac:dyDescent="0.3">
      <c r="A73" s="19"/>
      <c r="B73" s="5"/>
      <c r="C73" s="1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20"/>
      <c r="R73" s="5"/>
      <c r="S73" s="5"/>
      <c r="T73" s="5"/>
      <c r="U73" s="5"/>
      <c r="V73" s="5"/>
      <c r="W73" s="25"/>
      <c r="X73" s="27">
        <f>SUM(P69:P72)-SUM(V69:V72)</f>
        <v>-930199.20000000007</v>
      </c>
    </row>
    <row r="74" spans="1:24" ht="24.9" customHeight="1" thickBot="1" x14ac:dyDescent="0.35">
      <c r="A74" s="19"/>
      <c r="B74" s="5"/>
      <c r="C74" s="1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20"/>
      <c r="R74" s="5"/>
      <c r="S74" s="5"/>
      <c r="T74" s="5"/>
      <c r="U74" s="5"/>
      <c r="V74" s="5"/>
      <c r="W74" s="25"/>
      <c r="X74" s="19"/>
    </row>
    <row r="75" spans="1:24" ht="24.9" customHeight="1" x14ac:dyDescent="0.3">
      <c r="A75" s="42"/>
      <c r="B75" s="42"/>
      <c r="C75" s="43"/>
      <c r="D75" s="42"/>
      <c r="E75" s="42"/>
      <c r="F75" s="42"/>
      <c r="G75" s="42"/>
      <c r="H75" s="42"/>
      <c r="I75" s="42"/>
      <c r="J75" s="54"/>
      <c r="K75" s="54">
        <f t="shared" ref="K75:P75" si="3">SUM(K9:K74)</f>
        <v>202131.15000000002</v>
      </c>
      <c r="L75" s="54">
        <f t="shared" si="3"/>
        <v>0</v>
      </c>
      <c r="M75" s="54">
        <f t="shared" si="3"/>
        <v>293177.40000000002</v>
      </c>
      <c r="N75" s="54">
        <f t="shared" si="3"/>
        <v>727666.3</v>
      </c>
      <c r="O75" s="54">
        <f t="shared" si="3"/>
        <v>79625</v>
      </c>
      <c r="P75" s="54">
        <f t="shared" si="3"/>
        <v>6147083.5656000013</v>
      </c>
      <c r="Q75" s="54"/>
      <c r="R75" s="54" t="s">
        <v>18</v>
      </c>
      <c r="S75" s="54"/>
      <c r="T75" s="54"/>
      <c r="U75" s="54"/>
      <c r="V75" s="54">
        <f>SUM(V7:V74)</f>
        <v>14246918</v>
      </c>
      <c r="W75" s="42"/>
      <c r="X75" s="54">
        <f>SUM(X7:X74)</f>
        <v>-8099834.4343999997</v>
      </c>
    </row>
    <row r="76" spans="1:24" ht="24.9" customHeight="1" x14ac:dyDescent="0.3">
      <c r="A76" s="5"/>
      <c r="B76" s="5"/>
      <c r="C76" s="12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19"/>
    </row>
    <row r="77" spans="1:24" ht="24.9" customHeight="1" x14ac:dyDescent="0.3">
      <c r="A77" s="5"/>
      <c r="B77" s="5"/>
      <c r="C77" s="12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32" t="s">
        <v>17</v>
      </c>
      <c r="S77" s="32"/>
      <c r="T77" s="5"/>
      <c r="U77" s="5"/>
      <c r="V77" s="32">
        <f>P75-V75</f>
        <v>-8099834.4343999987</v>
      </c>
      <c r="W77" s="5"/>
      <c r="X77" s="19"/>
    </row>
    <row r="78" spans="1:24" ht="24.9" customHeight="1" thickBot="1" x14ac:dyDescent="0.35">
      <c r="A78" s="7"/>
      <c r="B78" s="7"/>
      <c r="C78" s="46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47"/>
    </row>
    <row r="80" spans="1:24" ht="24.9" customHeight="1" x14ac:dyDescent="0.3">
      <c r="L80" s="41">
        <f>K75+L75+M75</f>
        <v>495308.55000000005</v>
      </c>
      <c r="N80" s="41"/>
    </row>
    <row r="86" spans="14:14" ht="24.9" customHeight="1" x14ac:dyDescent="0.3">
      <c r="N86" s="41"/>
    </row>
  </sheetData>
  <phoneticPr fontId="8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B22535-97C0-4E3E-8A23-5BC300D20B88}">
  <dimension ref="C5:F28"/>
  <sheetViews>
    <sheetView workbookViewId="0">
      <selection activeCell="C5" sqref="C5"/>
    </sheetView>
  </sheetViews>
  <sheetFormatPr defaultRowHeight="14.4" x14ac:dyDescent="0.3"/>
  <cols>
    <col min="4" max="4" width="17.109375" customWidth="1"/>
    <col min="5" max="5" width="12.6640625" customWidth="1"/>
  </cols>
  <sheetData>
    <row r="5" spans="3:6" x14ac:dyDescent="0.3">
      <c r="C5" s="63" t="s">
        <v>122</v>
      </c>
      <c r="D5" s="63" t="s">
        <v>117</v>
      </c>
      <c r="E5" s="61"/>
      <c r="F5" s="61"/>
    </row>
    <row r="6" spans="3:6" x14ac:dyDescent="0.3">
      <c r="C6" s="62">
        <v>1</v>
      </c>
      <c r="D6" s="62" t="s">
        <v>118</v>
      </c>
      <c r="E6" s="61"/>
      <c r="F6" s="61"/>
    </row>
    <row r="7" spans="3:6" x14ac:dyDescent="0.3">
      <c r="C7" s="62">
        <v>2</v>
      </c>
      <c r="D7" s="62" t="s">
        <v>119</v>
      </c>
      <c r="E7" s="61"/>
      <c r="F7" s="61"/>
    </row>
    <row r="8" spans="3:6" x14ac:dyDescent="0.3">
      <c r="C8" s="62">
        <v>3</v>
      </c>
      <c r="D8" s="62" t="s">
        <v>120</v>
      </c>
      <c r="E8" s="61"/>
      <c r="F8" s="61"/>
    </row>
    <row r="9" spans="3:6" x14ac:dyDescent="0.3">
      <c r="C9" s="62">
        <v>4</v>
      </c>
      <c r="D9" s="62" t="s">
        <v>121</v>
      </c>
      <c r="E9" s="61"/>
      <c r="F9" s="61"/>
    </row>
    <row r="10" spans="3:6" x14ac:dyDescent="0.3">
      <c r="C10" s="62">
        <v>5</v>
      </c>
      <c r="D10" s="62" t="s">
        <v>123</v>
      </c>
      <c r="E10" s="61"/>
      <c r="F10" s="61"/>
    </row>
    <row r="11" spans="3:6" x14ac:dyDescent="0.3">
      <c r="C11" s="62">
        <v>6</v>
      </c>
      <c r="D11" s="62" t="s">
        <v>124</v>
      </c>
      <c r="E11" s="61"/>
      <c r="F11" s="61"/>
    </row>
    <row r="12" spans="3:6" x14ac:dyDescent="0.3">
      <c r="C12" s="61"/>
      <c r="D12" s="61"/>
      <c r="E12" s="61"/>
      <c r="F12" s="61"/>
    </row>
    <row r="13" spans="3:6" x14ac:dyDescent="0.3">
      <c r="C13" s="61"/>
      <c r="D13" s="61"/>
      <c r="E13" s="61"/>
      <c r="F13" s="61"/>
    </row>
    <row r="14" spans="3:6" x14ac:dyDescent="0.3">
      <c r="C14" s="61"/>
      <c r="D14" s="61"/>
      <c r="E14" s="61"/>
      <c r="F14" s="61"/>
    </row>
    <row r="15" spans="3:6" x14ac:dyDescent="0.3">
      <c r="C15" s="61"/>
      <c r="D15" s="61"/>
      <c r="E15" s="61"/>
      <c r="F15" s="61"/>
    </row>
    <row r="16" spans="3:6" x14ac:dyDescent="0.3">
      <c r="C16" s="61"/>
      <c r="D16" s="61"/>
      <c r="E16" s="61"/>
      <c r="F16" s="61"/>
    </row>
    <row r="17" spans="3:6" x14ac:dyDescent="0.3">
      <c r="C17" s="61"/>
      <c r="D17" s="61"/>
      <c r="E17" s="61"/>
      <c r="F17" s="61"/>
    </row>
    <row r="18" spans="3:6" x14ac:dyDescent="0.3">
      <c r="C18" s="61"/>
      <c r="D18" s="61"/>
      <c r="E18" s="61"/>
      <c r="F18" s="61"/>
    </row>
    <row r="19" spans="3:6" x14ac:dyDescent="0.3">
      <c r="C19" s="61"/>
      <c r="D19" s="61"/>
      <c r="E19" s="61"/>
      <c r="F19" s="61"/>
    </row>
    <row r="20" spans="3:6" x14ac:dyDescent="0.3">
      <c r="C20" s="61"/>
      <c r="D20" s="61"/>
      <c r="E20" s="61"/>
      <c r="F20" s="61"/>
    </row>
    <row r="21" spans="3:6" x14ac:dyDescent="0.3">
      <c r="C21" s="61"/>
      <c r="D21" s="61"/>
      <c r="E21" s="61"/>
      <c r="F21" s="61"/>
    </row>
    <row r="22" spans="3:6" x14ac:dyDescent="0.3">
      <c r="C22" s="61"/>
      <c r="D22" s="61"/>
      <c r="E22" s="61"/>
      <c r="F22" s="61"/>
    </row>
    <row r="23" spans="3:6" x14ac:dyDescent="0.3">
      <c r="C23" s="61"/>
      <c r="D23" s="61"/>
      <c r="E23" s="61"/>
      <c r="F23" s="61"/>
    </row>
    <row r="24" spans="3:6" x14ac:dyDescent="0.3">
      <c r="C24" s="61"/>
      <c r="D24" s="61"/>
      <c r="E24" s="61"/>
      <c r="F24" s="61"/>
    </row>
    <row r="25" spans="3:6" x14ac:dyDescent="0.3">
      <c r="C25" s="61"/>
      <c r="D25" s="61"/>
      <c r="E25" s="61"/>
      <c r="F25" s="61"/>
    </row>
    <row r="26" spans="3:6" x14ac:dyDescent="0.3">
      <c r="C26" s="61"/>
      <c r="D26" s="61"/>
      <c r="E26" s="61"/>
      <c r="F26" s="61"/>
    </row>
    <row r="27" spans="3:6" x14ac:dyDescent="0.3">
      <c r="C27" s="61"/>
      <c r="D27" s="61"/>
      <c r="E27" s="61"/>
      <c r="F27" s="61"/>
    </row>
    <row r="28" spans="3:6" x14ac:dyDescent="0.3">
      <c r="C28" s="61"/>
      <c r="D28" s="61"/>
      <c r="E28" s="61"/>
      <c r="F28" s="6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H15:O27"/>
  <sheetViews>
    <sheetView workbookViewId="0">
      <selection activeCell="H15" sqref="H15:O27"/>
    </sheetView>
  </sheetViews>
  <sheetFormatPr defaultRowHeight="14.4" x14ac:dyDescent="0.3"/>
  <cols>
    <col min="8" max="8" width="9.109375" customWidth="1"/>
  </cols>
  <sheetData>
    <row r="15" spans="8:15" x14ac:dyDescent="0.3">
      <c r="H15">
        <v>394716</v>
      </c>
      <c r="J15" t="s">
        <v>46</v>
      </c>
      <c r="K15">
        <v>500000</v>
      </c>
      <c r="L15">
        <v>10000</v>
      </c>
      <c r="M15">
        <v>0</v>
      </c>
      <c r="N15">
        <v>0</v>
      </c>
      <c r="O15">
        <v>490000</v>
      </c>
    </row>
    <row r="16" spans="8:15" x14ac:dyDescent="0.3">
      <c r="H16">
        <v>307823</v>
      </c>
      <c r="O16">
        <v>214175</v>
      </c>
    </row>
    <row r="17" spans="8:15" x14ac:dyDescent="0.3">
      <c r="H17">
        <v>-10120</v>
      </c>
      <c r="O17">
        <v>88902</v>
      </c>
    </row>
    <row r="18" spans="8:15" x14ac:dyDescent="0.3">
      <c r="H18">
        <v>89972</v>
      </c>
    </row>
    <row r="19" spans="8:15" x14ac:dyDescent="0.3">
      <c r="H19">
        <v>84582</v>
      </c>
      <c r="I19">
        <v>0</v>
      </c>
    </row>
    <row r="20" spans="8:15" x14ac:dyDescent="0.3">
      <c r="H20">
        <v>68131</v>
      </c>
      <c r="I20">
        <v>0</v>
      </c>
    </row>
    <row r="21" spans="8:15" x14ac:dyDescent="0.3">
      <c r="H21">
        <v>19280</v>
      </c>
      <c r="I21">
        <v>0</v>
      </c>
    </row>
    <row r="22" spans="8:15" x14ac:dyDescent="0.3">
      <c r="H22">
        <v>411867.58</v>
      </c>
    </row>
    <row r="23" spans="8:15" x14ac:dyDescent="0.3">
      <c r="H23">
        <v>154350</v>
      </c>
    </row>
    <row r="24" spans="8:15" x14ac:dyDescent="0.3">
      <c r="I24">
        <v>54927</v>
      </c>
    </row>
    <row r="25" spans="8:15" x14ac:dyDescent="0.3">
      <c r="H25">
        <v>284129</v>
      </c>
      <c r="J25" t="s">
        <v>51</v>
      </c>
      <c r="K25">
        <v>280747</v>
      </c>
      <c r="L25">
        <v>0</v>
      </c>
      <c r="M25">
        <v>0</v>
      </c>
      <c r="N25">
        <v>0</v>
      </c>
      <c r="O25">
        <v>490000</v>
      </c>
    </row>
    <row r="26" spans="8:15" x14ac:dyDescent="0.3">
      <c r="H26">
        <v>51390</v>
      </c>
    </row>
    <row r="27" spans="8:15" x14ac:dyDescent="0.3">
      <c r="H27">
        <v>81159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82"/>
  <sheetViews>
    <sheetView topLeftCell="A4" workbookViewId="0">
      <selection activeCell="E87" sqref="E87"/>
    </sheetView>
  </sheetViews>
  <sheetFormatPr defaultRowHeight="14.4" x14ac:dyDescent="0.3"/>
  <cols>
    <col min="1" max="1" width="6" bestFit="1" customWidth="1"/>
    <col min="2" max="2" width="26.109375" bestFit="1" customWidth="1"/>
    <col min="3" max="3" width="11.33203125" bestFit="1" customWidth="1"/>
    <col min="4" max="4" width="10.88671875" bestFit="1" customWidth="1"/>
    <col min="5" max="5" width="12.44140625" bestFit="1" customWidth="1"/>
    <col min="6" max="6" width="7.109375" bestFit="1" customWidth="1"/>
    <col min="7" max="7" width="15.5546875" bestFit="1" customWidth="1"/>
    <col min="8" max="8" width="11.44140625" bestFit="1" customWidth="1"/>
    <col min="9" max="9" width="12.44140625" bestFit="1" customWidth="1"/>
    <col min="10" max="10" width="8.44140625" bestFit="1" customWidth="1"/>
    <col min="11" max="11" width="7.5546875" bestFit="1" customWidth="1"/>
    <col min="12" max="12" width="15" bestFit="1" customWidth="1"/>
    <col min="13" max="13" width="13.88671875" bestFit="1" customWidth="1"/>
    <col min="14" max="14" width="12.33203125" bestFit="1" customWidth="1"/>
    <col min="15" max="15" width="12.88671875" bestFit="1" customWidth="1"/>
    <col min="16" max="16" width="12.44140625" bestFit="1" customWidth="1"/>
    <col min="17" max="17" width="6.6640625" bestFit="1" customWidth="1"/>
    <col min="18" max="18" width="19.44140625" bestFit="1" customWidth="1"/>
    <col min="19" max="19" width="19.6640625" bestFit="1" customWidth="1"/>
    <col min="20" max="20" width="13.44140625" bestFit="1" customWidth="1"/>
    <col min="21" max="21" width="33.44140625" bestFit="1" customWidth="1"/>
    <col min="22" max="22" width="16.5546875" bestFit="1" customWidth="1"/>
    <col min="23" max="23" width="90.109375" bestFit="1" customWidth="1"/>
    <col min="24" max="24" width="13.33203125" bestFit="1" customWidth="1"/>
  </cols>
  <sheetData>
    <row r="1" spans="1:24" s="33" customFormat="1" x14ac:dyDescent="0.3">
      <c r="A1" s="18"/>
      <c r="B1" s="42" t="s">
        <v>1</v>
      </c>
      <c r="C1" s="43" t="s">
        <v>2</v>
      </c>
      <c r="D1" s="42" t="s">
        <v>3</v>
      </c>
      <c r="E1" s="42" t="s">
        <v>4</v>
      </c>
      <c r="F1" s="42" t="s">
        <v>14</v>
      </c>
      <c r="G1" s="42" t="s">
        <v>15</v>
      </c>
      <c r="H1" s="44" t="s">
        <v>5</v>
      </c>
      <c r="I1" s="42" t="s">
        <v>6</v>
      </c>
      <c r="J1" s="44" t="s">
        <v>13</v>
      </c>
      <c r="K1" s="44" t="s">
        <v>12</v>
      </c>
      <c r="L1" s="44" t="s">
        <v>16</v>
      </c>
      <c r="M1" s="44" t="s">
        <v>20</v>
      </c>
      <c r="N1" s="44" t="s">
        <v>7</v>
      </c>
      <c r="O1" s="44" t="s">
        <v>71</v>
      </c>
      <c r="P1" s="42" t="s">
        <v>8</v>
      </c>
      <c r="Q1" s="45"/>
      <c r="R1" s="42" t="s">
        <v>89</v>
      </c>
      <c r="S1" s="42" t="s">
        <v>9</v>
      </c>
      <c r="T1" s="42" t="s">
        <v>6</v>
      </c>
      <c r="U1" s="44" t="s">
        <v>88</v>
      </c>
      <c r="V1" s="42" t="s">
        <v>10</v>
      </c>
      <c r="W1" s="42" t="s">
        <v>11</v>
      </c>
      <c r="X1" s="18"/>
    </row>
    <row r="2" spans="1:24" s="33" customFormat="1" ht="15" thickBot="1" x14ac:dyDescent="0.35">
      <c r="A2" s="47"/>
      <c r="B2" s="7"/>
      <c r="C2" s="46"/>
      <c r="D2" s="7"/>
      <c r="E2" s="7"/>
      <c r="F2" s="7"/>
      <c r="G2" s="7"/>
      <c r="H2" s="50">
        <v>0.18</v>
      </c>
      <c r="I2" s="7"/>
      <c r="J2" s="50">
        <v>0.01</v>
      </c>
      <c r="K2" s="50">
        <v>0.05</v>
      </c>
      <c r="L2" s="50">
        <v>0</v>
      </c>
      <c r="M2" s="50">
        <v>0.1</v>
      </c>
      <c r="N2" s="50">
        <v>0.18</v>
      </c>
      <c r="O2" s="50"/>
      <c r="P2" s="7"/>
      <c r="Q2" s="51"/>
      <c r="R2" s="7"/>
      <c r="S2" s="7"/>
      <c r="T2" s="7"/>
      <c r="U2" s="50">
        <v>0.02</v>
      </c>
      <c r="V2" s="7"/>
      <c r="W2" s="7"/>
      <c r="X2" s="47"/>
    </row>
    <row r="3" spans="1:24" s="40" customFormat="1" ht="15.6" x14ac:dyDescent="0.3">
      <c r="A3" s="21"/>
      <c r="B3" s="10"/>
      <c r="C3" s="16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22">
        <v>56017</v>
      </c>
      <c r="R3" s="10"/>
      <c r="S3" s="10"/>
      <c r="T3" s="10"/>
      <c r="U3" s="10"/>
      <c r="V3" s="10"/>
      <c r="W3" s="21"/>
      <c r="X3" s="27" t="e">
        <f>SUM(Civil!#REF!)-SUM(Civil!#REF!)</f>
        <v>#REF!</v>
      </c>
    </row>
    <row r="4" spans="1:24" s="33" customFormat="1" x14ac:dyDescent="0.3">
      <c r="A4" s="19">
        <v>56017</v>
      </c>
      <c r="B4" s="5" t="s">
        <v>32</v>
      </c>
      <c r="C4" s="12" t="s">
        <v>59</v>
      </c>
      <c r="D4" s="5">
        <v>42</v>
      </c>
      <c r="E4" s="5">
        <v>1485500</v>
      </c>
      <c r="F4" s="5">
        <v>0</v>
      </c>
      <c r="G4" s="5">
        <v>1485500</v>
      </c>
      <c r="H4" s="5">
        <v>267390</v>
      </c>
      <c r="I4" s="5">
        <v>1752890</v>
      </c>
      <c r="J4" s="5">
        <v>0</v>
      </c>
      <c r="K4" s="5">
        <v>0</v>
      </c>
      <c r="L4" s="5">
        <v>0</v>
      </c>
      <c r="M4" s="5">
        <v>0</v>
      </c>
      <c r="N4" s="5">
        <v>267390</v>
      </c>
      <c r="O4" s="5"/>
      <c r="P4" s="5">
        <v>1752890</v>
      </c>
      <c r="Q4" s="20"/>
      <c r="R4" s="5"/>
      <c r="S4" s="5" t="s">
        <v>33</v>
      </c>
      <c r="T4" s="5">
        <v>15759168</v>
      </c>
      <c r="U4" s="5">
        <v>0</v>
      </c>
      <c r="V4" s="5">
        <f>T4-U4</f>
        <v>15759168</v>
      </c>
      <c r="W4" s="25" t="s">
        <v>34</v>
      </c>
      <c r="X4" s="19"/>
    </row>
    <row r="5" spans="1:24" s="33" customFormat="1" x14ac:dyDescent="0.3">
      <c r="A5" s="19"/>
      <c r="B5" s="5"/>
      <c r="C5" s="12" t="s">
        <v>59</v>
      </c>
      <c r="D5" s="5">
        <v>41</v>
      </c>
      <c r="E5" s="5">
        <v>1716500</v>
      </c>
      <c r="F5" s="5">
        <v>0</v>
      </c>
      <c r="G5" s="5">
        <v>1716500</v>
      </c>
      <c r="H5" s="5">
        <v>308970</v>
      </c>
      <c r="I5" s="5">
        <v>2025470</v>
      </c>
      <c r="J5" s="5"/>
      <c r="K5" s="5"/>
      <c r="L5" s="5"/>
      <c r="M5" s="5"/>
      <c r="N5" s="5">
        <v>308970</v>
      </c>
      <c r="O5" s="5"/>
      <c r="P5" s="5">
        <v>2025470</v>
      </c>
      <c r="Q5" s="20"/>
      <c r="R5" s="5"/>
      <c r="S5" s="5" t="s">
        <v>35</v>
      </c>
      <c r="T5" s="5">
        <v>2476425</v>
      </c>
      <c r="U5" s="5">
        <v>0</v>
      </c>
      <c r="V5" s="5">
        <f>T5-U5</f>
        <v>2476425</v>
      </c>
      <c r="W5" s="25" t="s">
        <v>36</v>
      </c>
      <c r="X5" s="19"/>
    </row>
    <row r="6" spans="1:24" s="33" customFormat="1" x14ac:dyDescent="0.3">
      <c r="A6" s="19"/>
      <c r="B6" s="5"/>
      <c r="C6" s="12" t="s">
        <v>59</v>
      </c>
      <c r="D6" s="5">
        <v>40</v>
      </c>
      <c r="E6" s="5">
        <v>1143500</v>
      </c>
      <c r="F6" s="5"/>
      <c r="G6" s="5">
        <v>1143500</v>
      </c>
      <c r="H6" s="5">
        <v>205830</v>
      </c>
      <c r="I6" s="5">
        <v>1349330</v>
      </c>
      <c r="J6" s="5"/>
      <c r="K6" s="5"/>
      <c r="L6" s="5"/>
      <c r="M6" s="5"/>
      <c r="N6" s="5">
        <v>205830</v>
      </c>
      <c r="O6" s="5"/>
      <c r="P6" s="5">
        <v>1349330</v>
      </c>
      <c r="Q6" s="20"/>
      <c r="R6" s="5"/>
      <c r="S6" s="5" t="s">
        <v>70</v>
      </c>
      <c r="T6" s="5">
        <v>4255011</v>
      </c>
      <c r="U6" s="5"/>
      <c r="V6" s="5">
        <f>T6-U6</f>
        <v>4255011</v>
      </c>
      <c r="W6" s="25" t="s">
        <v>69</v>
      </c>
      <c r="X6" s="19"/>
    </row>
    <row r="7" spans="1:24" s="33" customFormat="1" x14ac:dyDescent="0.3">
      <c r="A7" s="19"/>
      <c r="B7" s="5"/>
      <c r="C7" s="12" t="s">
        <v>60</v>
      </c>
      <c r="D7" s="5">
        <v>44</v>
      </c>
      <c r="E7" s="5">
        <v>2724000</v>
      </c>
      <c r="F7" s="5"/>
      <c r="G7" s="5">
        <v>2724000</v>
      </c>
      <c r="H7" s="5">
        <v>490320</v>
      </c>
      <c r="I7" s="5">
        <v>3214320</v>
      </c>
      <c r="J7" s="5"/>
      <c r="K7" s="5"/>
      <c r="L7" s="5"/>
      <c r="M7" s="5"/>
      <c r="N7" s="5">
        <v>490320</v>
      </c>
      <c r="O7" s="5"/>
      <c r="P7" s="5">
        <v>3214320</v>
      </c>
      <c r="Q7" s="20"/>
      <c r="R7" s="5"/>
      <c r="S7" s="5"/>
      <c r="T7" s="5"/>
      <c r="U7" s="5"/>
      <c r="V7" s="5"/>
      <c r="W7" s="25"/>
      <c r="X7" s="19"/>
    </row>
    <row r="8" spans="1:24" s="33" customFormat="1" x14ac:dyDescent="0.3">
      <c r="A8" s="19"/>
      <c r="B8" s="5"/>
      <c r="C8" s="12" t="s">
        <v>60</v>
      </c>
      <c r="D8" s="5">
        <v>45</v>
      </c>
      <c r="E8" s="5">
        <v>2705000</v>
      </c>
      <c r="F8" s="5"/>
      <c r="G8" s="5">
        <v>2705000</v>
      </c>
      <c r="H8" s="5">
        <v>486900</v>
      </c>
      <c r="I8" s="5">
        <v>3191900</v>
      </c>
      <c r="J8" s="5"/>
      <c r="K8" s="5"/>
      <c r="L8" s="5"/>
      <c r="M8" s="5"/>
      <c r="N8" s="5">
        <v>486900</v>
      </c>
      <c r="O8" s="5"/>
      <c r="P8" s="5">
        <v>3191900</v>
      </c>
      <c r="Q8" s="20"/>
      <c r="R8" s="5"/>
      <c r="S8" s="5"/>
      <c r="T8" s="5"/>
      <c r="U8" s="5"/>
      <c r="V8" s="5"/>
      <c r="W8" s="25"/>
      <c r="X8" s="19"/>
    </row>
    <row r="9" spans="1:24" s="33" customFormat="1" x14ac:dyDescent="0.3">
      <c r="A9" s="19"/>
      <c r="B9" s="5"/>
      <c r="C9" s="12" t="s">
        <v>60</v>
      </c>
      <c r="D9" s="5">
        <v>46</v>
      </c>
      <c r="E9" s="5">
        <v>2768000</v>
      </c>
      <c r="F9" s="5"/>
      <c r="G9" s="5">
        <v>2768000</v>
      </c>
      <c r="H9" s="5">
        <v>498240</v>
      </c>
      <c r="I9" s="5">
        <v>3266240</v>
      </c>
      <c r="J9" s="5"/>
      <c r="K9" s="5"/>
      <c r="L9" s="5"/>
      <c r="M9" s="5"/>
      <c r="N9" s="5">
        <v>498240</v>
      </c>
      <c r="O9" s="5"/>
      <c r="P9" s="5">
        <v>3266240</v>
      </c>
      <c r="Q9" s="20"/>
      <c r="R9" s="5"/>
      <c r="S9" s="5"/>
      <c r="T9" s="5"/>
      <c r="U9" s="5"/>
      <c r="V9" s="5"/>
      <c r="W9" s="25"/>
      <c r="X9" s="19"/>
    </row>
    <row r="10" spans="1:24" s="33" customFormat="1" x14ac:dyDescent="0.3">
      <c r="A10" s="19"/>
      <c r="B10" s="5"/>
      <c r="C10" s="12" t="s">
        <v>61</v>
      </c>
      <c r="D10" s="5">
        <v>48</v>
      </c>
      <c r="E10" s="5">
        <v>2186000</v>
      </c>
      <c r="F10" s="5"/>
      <c r="G10" s="5">
        <v>2186000</v>
      </c>
      <c r="H10" s="5">
        <v>393480</v>
      </c>
      <c r="I10" s="5">
        <v>2579480</v>
      </c>
      <c r="J10" s="5"/>
      <c r="K10" s="5"/>
      <c r="L10" s="5"/>
      <c r="M10" s="5"/>
      <c r="N10" s="5">
        <v>393480</v>
      </c>
      <c r="O10" s="5"/>
      <c r="P10" s="5">
        <v>2579480</v>
      </c>
      <c r="Q10" s="20"/>
      <c r="R10" s="5"/>
      <c r="S10" s="5"/>
      <c r="T10" s="5"/>
      <c r="U10" s="5"/>
      <c r="V10" s="5"/>
      <c r="W10" s="25"/>
      <c r="X10" s="19"/>
    </row>
    <row r="11" spans="1:24" s="33" customFormat="1" x14ac:dyDescent="0.3">
      <c r="A11" s="19"/>
      <c r="B11" s="5"/>
      <c r="C11" s="12" t="s">
        <v>62</v>
      </c>
      <c r="D11" s="5">
        <v>49</v>
      </c>
      <c r="E11" s="5">
        <v>738500</v>
      </c>
      <c r="F11" s="5"/>
      <c r="G11" s="5">
        <v>738500</v>
      </c>
      <c r="H11" s="5">
        <v>132930</v>
      </c>
      <c r="I11" s="5">
        <v>871430</v>
      </c>
      <c r="J11" s="5"/>
      <c r="K11" s="5"/>
      <c r="L11" s="5"/>
      <c r="M11" s="5"/>
      <c r="N11" s="5">
        <v>132930</v>
      </c>
      <c r="O11" s="5"/>
      <c r="P11" s="5">
        <v>871430</v>
      </c>
      <c r="Q11" s="20"/>
      <c r="R11" s="5"/>
      <c r="S11" s="5"/>
      <c r="T11" s="5"/>
      <c r="U11" s="5"/>
      <c r="V11" s="5"/>
      <c r="W11" s="25"/>
      <c r="X11" s="19"/>
    </row>
    <row r="12" spans="1:24" s="33" customFormat="1" x14ac:dyDescent="0.3">
      <c r="A12" s="19"/>
      <c r="B12" s="5"/>
      <c r="C12" s="12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20"/>
      <c r="R12" s="5"/>
      <c r="S12" s="5"/>
      <c r="T12" s="5"/>
      <c r="U12" s="5"/>
      <c r="V12" s="5"/>
      <c r="W12" s="25"/>
      <c r="X12" s="19"/>
    </row>
    <row r="13" spans="1:24" s="33" customFormat="1" x14ac:dyDescent="0.3">
      <c r="A13" s="19"/>
      <c r="B13" s="5"/>
      <c r="C13" s="12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20"/>
      <c r="R13" s="5"/>
      <c r="S13" s="5"/>
      <c r="T13" s="5"/>
      <c r="U13" s="5"/>
      <c r="V13" s="5"/>
      <c r="W13" s="25"/>
      <c r="X13" s="19"/>
    </row>
    <row r="14" spans="1:24" s="33" customFormat="1" x14ac:dyDescent="0.3">
      <c r="A14" s="19"/>
      <c r="B14" s="5"/>
      <c r="C14" s="12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20"/>
      <c r="R14" s="5"/>
      <c r="S14" s="5"/>
      <c r="T14" s="5"/>
      <c r="U14" s="5"/>
      <c r="V14" s="5"/>
      <c r="W14" s="25"/>
      <c r="X14" s="19"/>
    </row>
    <row r="15" spans="1:24" s="33" customFormat="1" x14ac:dyDescent="0.3">
      <c r="A15" s="19"/>
      <c r="B15" s="5"/>
      <c r="C15" s="12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20"/>
      <c r="R15" s="5"/>
      <c r="S15" s="5"/>
      <c r="T15" s="5"/>
      <c r="U15" s="5"/>
      <c r="V15" s="5"/>
      <c r="W15" s="25"/>
      <c r="X15" s="19"/>
    </row>
    <row r="16" spans="1:24" s="40" customFormat="1" ht="15.6" x14ac:dyDescent="0.3">
      <c r="A16" s="21"/>
      <c r="B16" s="10"/>
      <c r="C16" s="16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22">
        <f>A17</f>
        <v>57778</v>
      </c>
      <c r="R16" s="10"/>
      <c r="S16" s="10"/>
      <c r="T16" s="10"/>
      <c r="U16" s="10"/>
      <c r="V16" s="10"/>
      <c r="W16" s="21"/>
      <c r="X16" s="27">
        <f>SUM(P10:P13)-SUM(V10:V13)</f>
        <v>3450910</v>
      </c>
    </row>
    <row r="17" spans="1:24" s="33" customFormat="1" x14ac:dyDescent="0.3">
      <c r="A17" s="19">
        <v>57778</v>
      </c>
      <c r="B17" s="5" t="s">
        <v>66</v>
      </c>
      <c r="C17" s="12">
        <v>45085</v>
      </c>
      <c r="D17" s="5">
        <v>24</v>
      </c>
      <c r="E17" s="5">
        <v>2668000</v>
      </c>
      <c r="F17" s="5">
        <v>0</v>
      </c>
      <c r="G17" s="5">
        <v>2668000</v>
      </c>
      <c r="H17" s="5"/>
      <c r="I17" s="5"/>
      <c r="J17" s="5"/>
      <c r="K17" s="5"/>
      <c r="L17" s="5"/>
      <c r="M17" s="5"/>
      <c r="N17" s="5">
        <v>480240</v>
      </c>
      <c r="O17" s="5"/>
      <c r="P17" s="5">
        <v>3148240</v>
      </c>
      <c r="Q17" s="30"/>
      <c r="R17" s="5"/>
      <c r="S17" s="5" t="s">
        <v>73</v>
      </c>
      <c r="T17" s="5">
        <v>3146790</v>
      </c>
      <c r="U17" s="5"/>
      <c r="V17" s="5">
        <f>T17-U17</f>
        <v>3146790</v>
      </c>
      <c r="W17" s="25" t="s">
        <v>67</v>
      </c>
      <c r="X17" s="19"/>
    </row>
    <row r="18" spans="1:24" s="33" customFormat="1" x14ac:dyDescent="0.3">
      <c r="A18" s="19"/>
      <c r="B18" s="5"/>
      <c r="C18" s="12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20"/>
      <c r="R18" s="5"/>
      <c r="S18" s="5"/>
      <c r="T18" s="5"/>
      <c r="U18" s="5"/>
      <c r="V18" s="5"/>
      <c r="W18" s="25"/>
      <c r="X18" s="19"/>
    </row>
    <row r="19" spans="1:24" s="33" customFormat="1" x14ac:dyDescent="0.3">
      <c r="A19" s="19"/>
      <c r="B19" s="5"/>
      <c r="C19" s="12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20"/>
      <c r="R19" s="5"/>
      <c r="S19" s="5"/>
      <c r="T19" s="5"/>
      <c r="U19" s="5"/>
      <c r="V19" s="5"/>
      <c r="W19" s="25"/>
      <c r="X19" s="27">
        <f>SUM(P13:P18)-SUM(V16:V18)</f>
        <v>1450</v>
      </c>
    </row>
    <row r="20" spans="1:24" s="33" customFormat="1" hidden="1" x14ac:dyDescent="0.3">
      <c r="A20" s="19"/>
      <c r="B20" s="5"/>
      <c r="C20" s="12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20"/>
      <c r="R20" s="5"/>
      <c r="S20" s="5"/>
      <c r="T20" s="5"/>
      <c r="U20" s="5"/>
      <c r="V20" s="5"/>
      <c r="W20" s="25"/>
      <c r="X20" s="19"/>
    </row>
    <row r="21" spans="1:24" s="33" customFormat="1" hidden="1" x14ac:dyDescent="0.3">
      <c r="A21" s="19"/>
      <c r="B21" s="5"/>
      <c r="C21" s="12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20"/>
      <c r="R21" s="5"/>
      <c r="S21" s="5"/>
      <c r="T21" s="5"/>
      <c r="U21" s="5"/>
      <c r="V21" s="5"/>
      <c r="W21" s="25"/>
      <c r="X21" s="19"/>
    </row>
    <row r="22" spans="1:24" s="33" customFormat="1" hidden="1" x14ac:dyDescent="0.3">
      <c r="A22" s="19"/>
      <c r="B22" s="5"/>
      <c r="C22" s="12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20"/>
      <c r="R22" s="5"/>
      <c r="S22" s="5"/>
      <c r="T22" s="5"/>
      <c r="U22" s="5"/>
      <c r="V22" s="5"/>
      <c r="W22" s="25"/>
      <c r="X22" s="19"/>
    </row>
    <row r="23" spans="1:24" s="33" customFormat="1" hidden="1" x14ac:dyDescent="0.3">
      <c r="A23" s="19"/>
      <c r="B23" s="5"/>
      <c r="C23" s="12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20"/>
      <c r="R23" s="5"/>
      <c r="S23" s="5"/>
      <c r="T23" s="5"/>
      <c r="U23" s="5"/>
      <c r="V23" s="5"/>
      <c r="W23" s="25"/>
      <c r="X23" s="19"/>
    </row>
    <row r="24" spans="1:24" s="33" customFormat="1" hidden="1" x14ac:dyDescent="0.3">
      <c r="A24" s="19"/>
      <c r="B24" s="5"/>
      <c r="C24" s="12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20"/>
      <c r="R24" s="5"/>
      <c r="S24" s="5"/>
      <c r="T24" s="5"/>
      <c r="U24" s="5"/>
      <c r="V24" s="5"/>
      <c r="W24" s="25"/>
      <c r="X24" s="19"/>
    </row>
    <row r="25" spans="1:24" s="33" customFormat="1" hidden="1" x14ac:dyDescent="0.3">
      <c r="A25" s="19"/>
      <c r="B25" s="5"/>
      <c r="C25" s="12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20"/>
      <c r="R25" s="5"/>
      <c r="S25" s="5"/>
      <c r="T25" s="5"/>
      <c r="U25" s="5"/>
      <c r="V25" s="5"/>
      <c r="W25" s="25"/>
      <c r="X25" s="19"/>
    </row>
    <row r="26" spans="1:24" s="33" customFormat="1" hidden="1" x14ac:dyDescent="0.3">
      <c r="A26" s="19"/>
      <c r="B26" s="5"/>
      <c r="C26" s="12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20"/>
      <c r="R26" s="5"/>
      <c r="S26" s="5"/>
      <c r="T26" s="5"/>
      <c r="U26" s="5"/>
      <c r="V26" s="5"/>
      <c r="W26" s="25"/>
      <c r="X26" s="19"/>
    </row>
    <row r="27" spans="1:24" s="33" customFormat="1" hidden="1" x14ac:dyDescent="0.3">
      <c r="A27" s="19"/>
      <c r="B27" s="5"/>
      <c r="C27" s="12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20"/>
      <c r="R27" s="5"/>
      <c r="S27" s="5"/>
      <c r="T27" s="5"/>
      <c r="U27" s="5"/>
      <c r="V27" s="5"/>
      <c r="W27" s="25"/>
      <c r="X27" s="19"/>
    </row>
    <row r="28" spans="1:24" s="33" customFormat="1" hidden="1" x14ac:dyDescent="0.3">
      <c r="A28" s="19"/>
      <c r="B28" s="5"/>
      <c r="C28" s="12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20"/>
      <c r="R28" s="5"/>
      <c r="S28" s="5"/>
      <c r="T28" s="5"/>
      <c r="U28" s="5"/>
      <c r="V28" s="5"/>
      <c r="W28" s="25"/>
      <c r="X28" s="19"/>
    </row>
    <row r="29" spans="1:24" s="33" customFormat="1" hidden="1" x14ac:dyDescent="0.3">
      <c r="A29" s="19"/>
      <c r="B29" s="5"/>
      <c r="C29" s="12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20"/>
      <c r="R29" s="5"/>
      <c r="S29" s="5"/>
      <c r="T29" s="5"/>
      <c r="U29" s="5"/>
      <c r="V29" s="5"/>
      <c r="W29" s="25"/>
      <c r="X29" s="19"/>
    </row>
    <row r="30" spans="1:24" s="33" customFormat="1" hidden="1" x14ac:dyDescent="0.3">
      <c r="A30" s="19"/>
      <c r="B30" s="5"/>
      <c r="C30" s="12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20"/>
      <c r="R30" s="5"/>
      <c r="S30" s="5"/>
      <c r="T30" s="5"/>
      <c r="U30" s="5"/>
      <c r="V30" s="5"/>
      <c r="W30" s="25"/>
      <c r="X30" s="19"/>
    </row>
    <row r="31" spans="1:24" s="33" customFormat="1" hidden="1" x14ac:dyDescent="0.3">
      <c r="A31" s="19"/>
      <c r="B31" s="5"/>
      <c r="C31" s="12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20"/>
      <c r="R31" s="5"/>
      <c r="S31" s="5"/>
      <c r="T31" s="5"/>
      <c r="U31" s="5"/>
      <c r="V31" s="5"/>
      <c r="W31" s="25"/>
      <c r="X31" s="19"/>
    </row>
    <row r="32" spans="1:24" s="33" customFormat="1" hidden="1" x14ac:dyDescent="0.3">
      <c r="A32" s="19"/>
      <c r="B32" s="5"/>
      <c r="C32" s="12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20"/>
      <c r="R32" s="5"/>
      <c r="S32" s="5"/>
      <c r="T32" s="5"/>
      <c r="U32" s="5"/>
      <c r="V32" s="5"/>
      <c r="W32" s="25"/>
      <c r="X32" s="19"/>
    </row>
    <row r="33" spans="1:24" s="33" customFormat="1" hidden="1" x14ac:dyDescent="0.3">
      <c r="A33" s="19"/>
      <c r="B33" s="5"/>
      <c r="C33" s="12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20"/>
      <c r="R33" s="5"/>
      <c r="S33" s="5"/>
      <c r="T33" s="5"/>
      <c r="U33" s="5"/>
      <c r="V33" s="5"/>
      <c r="W33" s="25"/>
      <c r="X33" s="19"/>
    </row>
    <row r="34" spans="1:24" s="33" customFormat="1" hidden="1" x14ac:dyDescent="0.3">
      <c r="A34" s="19"/>
      <c r="B34" s="5"/>
      <c r="C34" s="12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20"/>
      <c r="R34" s="5"/>
      <c r="S34" s="5"/>
      <c r="T34" s="5"/>
      <c r="U34" s="5"/>
      <c r="V34" s="5"/>
      <c r="W34" s="25"/>
      <c r="X34" s="19"/>
    </row>
    <row r="35" spans="1:24" s="33" customFormat="1" hidden="1" x14ac:dyDescent="0.3">
      <c r="A35" s="19"/>
      <c r="B35" s="5"/>
      <c r="C35" s="12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20"/>
      <c r="R35" s="5"/>
      <c r="S35" s="5"/>
      <c r="T35" s="5"/>
      <c r="U35" s="5"/>
      <c r="V35" s="5"/>
      <c r="W35" s="25"/>
      <c r="X35" s="19"/>
    </row>
    <row r="36" spans="1:24" s="33" customFormat="1" hidden="1" x14ac:dyDescent="0.3">
      <c r="A36" s="19"/>
      <c r="B36" s="5"/>
      <c r="C36" s="12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20"/>
      <c r="R36" s="5"/>
      <c r="S36" s="5"/>
      <c r="T36" s="5"/>
      <c r="U36" s="5"/>
      <c r="V36" s="5"/>
      <c r="W36" s="25"/>
      <c r="X36" s="19"/>
    </row>
    <row r="37" spans="1:24" s="33" customFormat="1" hidden="1" x14ac:dyDescent="0.3">
      <c r="A37" s="19"/>
      <c r="B37" s="5"/>
      <c r="C37" s="12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20"/>
      <c r="R37" s="5"/>
      <c r="S37" s="5"/>
      <c r="T37" s="5"/>
      <c r="U37" s="5"/>
      <c r="V37" s="5"/>
      <c r="W37" s="25"/>
      <c r="X37" s="19"/>
    </row>
    <row r="38" spans="1:24" s="33" customFormat="1" hidden="1" x14ac:dyDescent="0.3">
      <c r="A38" s="19"/>
      <c r="B38" s="5"/>
      <c r="C38" s="12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20"/>
      <c r="R38" s="5"/>
      <c r="S38" s="5"/>
      <c r="T38" s="5"/>
      <c r="U38" s="5"/>
      <c r="V38" s="5"/>
      <c r="W38" s="25"/>
      <c r="X38" s="19"/>
    </row>
    <row r="39" spans="1:24" s="33" customFormat="1" hidden="1" x14ac:dyDescent="0.3">
      <c r="A39" s="19"/>
      <c r="B39" s="5"/>
      <c r="C39" s="12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20"/>
      <c r="R39" s="5"/>
      <c r="S39" s="5"/>
      <c r="T39" s="5"/>
      <c r="U39" s="5"/>
      <c r="V39" s="5"/>
      <c r="W39" s="25"/>
      <c r="X39" s="19"/>
    </row>
    <row r="40" spans="1:24" s="33" customFormat="1" hidden="1" x14ac:dyDescent="0.3">
      <c r="A40" s="19"/>
      <c r="B40" s="5"/>
      <c r="C40" s="12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20"/>
      <c r="R40" s="5"/>
      <c r="S40" s="5"/>
      <c r="T40" s="5"/>
      <c r="U40" s="5"/>
      <c r="V40" s="5"/>
      <c r="W40" s="25"/>
      <c r="X40" s="19"/>
    </row>
    <row r="41" spans="1:24" s="33" customFormat="1" hidden="1" x14ac:dyDescent="0.3">
      <c r="A41" s="19"/>
      <c r="B41" s="5"/>
      <c r="C41" s="12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20"/>
      <c r="R41" s="5"/>
      <c r="S41" s="5"/>
      <c r="T41" s="5"/>
      <c r="U41" s="5"/>
      <c r="V41" s="5"/>
      <c r="W41" s="25"/>
      <c r="X41" s="19"/>
    </row>
    <row r="42" spans="1:24" s="33" customFormat="1" hidden="1" x14ac:dyDescent="0.3">
      <c r="A42" s="19"/>
      <c r="B42" s="5"/>
      <c r="C42" s="12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20"/>
      <c r="R42" s="5"/>
      <c r="S42" s="5"/>
      <c r="T42" s="5"/>
      <c r="U42" s="5"/>
      <c r="V42" s="5"/>
      <c r="W42" s="25"/>
      <c r="X42" s="19"/>
    </row>
    <row r="43" spans="1:24" s="33" customFormat="1" hidden="1" x14ac:dyDescent="0.3">
      <c r="A43" s="19"/>
      <c r="B43" s="5"/>
      <c r="C43" s="12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20"/>
      <c r="R43" s="5"/>
      <c r="S43" s="5"/>
      <c r="T43" s="5"/>
      <c r="U43" s="5"/>
      <c r="V43" s="5"/>
      <c r="W43" s="25"/>
      <c r="X43" s="19"/>
    </row>
    <row r="44" spans="1:24" s="33" customFormat="1" hidden="1" x14ac:dyDescent="0.3">
      <c r="A44" s="19"/>
      <c r="B44" s="5"/>
      <c r="C44" s="12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20"/>
      <c r="R44" s="5"/>
      <c r="S44" s="5"/>
      <c r="T44" s="5"/>
      <c r="U44" s="5"/>
      <c r="V44" s="5"/>
      <c r="W44" s="25"/>
      <c r="X44" s="19"/>
    </row>
    <row r="45" spans="1:24" s="33" customFormat="1" hidden="1" x14ac:dyDescent="0.3">
      <c r="A45" s="19"/>
      <c r="B45" s="5"/>
      <c r="C45" s="12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20"/>
      <c r="R45" s="5"/>
      <c r="S45" s="5"/>
      <c r="T45" s="5"/>
      <c r="U45" s="5"/>
      <c r="V45" s="5"/>
      <c r="W45" s="25"/>
      <c r="X45" s="19"/>
    </row>
    <row r="46" spans="1:24" s="33" customFormat="1" hidden="1" x14ac:dyDescent="0.3">
      <c r="A46" s="19"/>
      <c r="B46" s="5"/>
      <c r="C46" s="12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20"/>
      <c r="R46" s="5"/>
      <c r="S46" s="5"/>
      <c r="T46" s="5"/>
      <c r="U46" s="5"/>
      <c r="V46" s="5"/>
      <c r="W46" s="25"/>
      <c r="X46" s="19"/>
    </row>
    <row r="47" spans="1:24" s="33" customFormat="1" hidden="1" x14ac:dyDescent="0.3">
      <c r="A47" s="19"/>
      <c r="B47" s="5"/>
      <c r="C47" s="12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20"/>
      <c r="R47" s="5"/>
      <c r="S47" s="5"/>
      <c r="T47" s="5"/>
      <c r="U47" s="5"/>
      <c r="V47" s="5"/>
      <c r="W47" s="25"/>
      <c r="X47" s="19"/>
    </row>
    <row r="48" spans="1:24" s="33" customFormat="1" hidden="1" x14ac:dyDescent="0.3">
      <c r="A48" s="19"/>
      <c r="B48" s="5"/>
      <c r="C48" s="12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20"/>
      <c r="R48" s="5"/>
      <c r="S48" s="5"/>
      <c r="T48" s="5"/>
      <c r="U48" s="5"/>
      <c r="V48" s="5"/>
      <c r="W48" s="25"/>
      <c r="X48" s="19"/>
    </row>
    <row r="49" spans="1:24" s="33" customFormat="1" hidden="1" x14ac:dyDescent="0.3">
      <c r="A49" s="19"/>
      <c r="B49" s="5"/>
      <c r="C49" s="12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20"/>
      <c r="R49" s="5"/>
      <c r="S49" s="5"/>
      <c r="T49" s="5"/>
      <c r="U49" s="5"/>
      <c r="V49" s="5"/>
      <c r="W49" s="25"/>
      <c r="X49" s="19"/>
    </row>
    <row r="50" spans="1:24" s="33" customFormat="1" hidden="1" x14ac:dyDescent="0.3">
      <c r="A50" s="19"/>
      <c r="B50" s="5"/>
      <c r="C50" s="12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20"/>
      <c r="R50" s="5"/>
      <c r="S50" s="5"/>
      <c r="T50" s="5"/>
      <c r="U50" s="5"/>
      <c r="V50" s="5"/>
      <c r="W50" s="25"/>
      <c r="X50" s="19"/>
    </row>
    <row r="51" spans="1:24" s="33" customFormat="1" hidden="1" x14ac:dyDescent="0.3">
      <c r="A51" s="19"/>
      <c r="B51" s="5"/>
      <c r="C51" s="12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20"/>
      <c r="R51" s="5"/>
      <c r="S51" s="5"/>
      <c r="T51" s="5"/>
      <c r="U51" s="5"/>
      <c r="V51" s="5"/>
      <c r="W51" s="25"/>
      <c r="X51" s="19"/>
    </row>
    <row r="52" spans="1:24" s="33" customFormat="1" hidden="1" x14ac:dyDescent="0.3">
      <c r="A52" s="19"/>
      <c r="B52" s="5"/>
      <c r="C52" s="12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20"/>
      <c r="R52" s="5"/>
      <c r="S52" s="5"/>
      <c r="T52" s="5"/>
      <c r="U52" s="5"/>
      <c r="V52" s="5"/>
      <c r="W52" s="25"/>
      <c r="X52" s="19"/>
    </row>
    <row r="53" spans="1:24" s="33" customFormat="1" hidden="1" x14ac:dyDescent="0.3">
      <c r="A53" s="19"/>
      <c r="B53" s="5"/>
      <c r="C53" s="12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20"/>
      <c r="R53" s="5"/>
      <c r="S53" s="5"/>
      <c r="T53" s="5"/>
      <c r="U53" s="5"/>
      <c r="V53" s="5"/>
      <c r="W53" s="25"/>
      <c r="X53" s="19"/>
    </row>
    <row r="54" spans="1:24" s="33" customFormat="1" hidden="1" x14ac:dyDescent="0.3">
      <c r="A54" s="19"/>
      <c r="B54" s="5"/>
      <c r="C54" s="12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20"/>
      <c r="R54" s="5"/>
      <c r="S54" s="5"/>
      <c r="T54" s="5"/>
      <c r="U54" s="5"/>
      <c r="V54" s="5"/>
      <c r="W54" s="25"/>
      <c r="X54" s="19"/>
    </row>
    <row r="55" spans="1:24" s="33" customFormat="1" hidden="1" x14ac:dyDescent="0.3">
      <c r="A55" s="19"/>
      <c r="B55" s="5"/>
      <c r="C55" s="12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20"/>
      <c r="R55" s="5"/>
      <c r="S55" s="5"/>
      <c r="T55" s="5"/>
      <c r="U55" s="5"/>
      <c r="V55" s="5"/>
      <c r="W55" s="25"/>
      <c r="X55" s="19"/>
    </row>
    <row r="56" spans="1:24" s="33" customFormat="1" hidden="1" x14ac:dyDescent="0.3">
      <c r="A56" s="19"/>
      <c r="B56" s="5"/>
      <c r="C56" s="12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20"/>
      <c r="R56" s="5"/>
      <c r="S56" s="5"/>
      <c r="T56" s="5"/>
      <c r="U56" s="5"/>
      <c r="V56" s="5"/>
      <c r="W56" s="25"/>
      <c r="X56" s="19"/>
    </row>
    <row r="57" spans="1:24" s="33" customFormat="1" hidden="1" x14ac:dyDescent="0.3">
      <c r="A57" s="19"/>
      <c r="B57" s="5"/>
      <c r="C57" s="12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20"/>
      <c r="R57" s="5"/>
      <c r="S57" s="5"/>
      <c r="T57" s="5"/>
      <c r="U57" s="5"/>
      <c r="V57" s="5"/>
      <c r="W57" s="25"/>
      <c r="X57" s="19"/>
    </row>
    <row r="58" spans="1:24" s="33" customFormat="1" hidden="1" x14ac:dyDescent="0.3">
      <c r="A58" s="19"/>
      <c r="B58" s="5"/>
      <c r="C58" s="12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20"/>
      <c r="R58" s="5"/>
      <c r="S58" s="5"/>
      <c r="T58" s="5"/>
      <c r="U58" s="5"/>
      <c r="V58" s="5"/>
      <c r="W58" s="25"/>
      <c r="X58" s="19"/>
    </row>
    <row r="59" spans="1:24" s="33" customFormat="1" hidden="1" x14ac:dyDescent="0.3">
      <c r="A59" s="19"/>
      <c r="B59" s="5"/>
      <c r="C59" s="12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20"/>
      <c r="R59" s="5"/>
      <c r="S59" s="5"/>
      <c r="T59" s="5"/>
      <c r="U59" s="5"/>
      <c r="V59" s="5"/>
      <c r="W59" s="25"/>
      <c r="X59" s="19"/>
    </row>
    <row r="60" spans="1:24" s="33" customFormat="1" hidden="1" x14ac:dyDescent="0.3">
      <c r="A60" s="19"/>
      <c r="B60" s="5"/>
      <c r="C60" s="12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20"/>
      <c r="R60" s="5"/>
      <c r="S60" s="5"/>
      <c r="T60" s="5"/>
      <c r="U60" s="5"/>
      <c r="V60" s="5"/>
      <c r="W60" s="25"/>
      <c r="X60" s="19"/>
    </row>
    <row r="61" spans="1:24" s="33" customFormat="1" hidden="1" x14ac:dyDescent="0.3">
      <c r="A61" s="19"/>
      <c r="B61" s="5"/>
      <c r="C61" s="12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20"/>
      <c r="R61" s="5"/>
      <c r="S61" s="5"/>
      <c r="T61" s="5"/>
      <c r="U61" s="5"/>
      <c r="V61" s="5"/>
      <c r="W61" s="25"/>
      <c r="X61" s="19"/>
    </row>
    <row r="62" spans="1:24" s="33" customFormat="1" hidden="1" x14ac:dyDescent="0.3">
      <c r="A62" s="19"/>
      <c r="B62" s="5"/>
      <c r="C62" s="12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20"/>
      <c r="R62" s="5"/>
      <c r="S62" s="5"/>
      <c r="T62" s="5"/>
      <c r="U62" s="5"/>
      <c r="V62" s="5"/>
      <c r="W62" s="25"/>
      <c r="X62" s="19"/>
    </row>
    <row r="63" spans="1:24" s="33" customFormat="1" hidden="1" x14ac:dyDescent="0.3">
      <c r="A63" s="19"/>
      <c r="B63" s="5"/>
      <c r="C63" s="12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20"/>
      <c r="R63" s="5"/>
      <c r="S63" s="5"/>
      <c r="T63" s="5"/>
      <c r="U63" s="5"/>
      <c r="V63" s="5"/>
      <c r="W63" s="25"/>
      <c r="X63" s="19"/>
    </row>
    <row r="64" spans="1:24" s="33" customFormat="1" hidden="1" x14ac:dyDescent="0.3">
      <c r="A64" s="19"/>
      <c r="B64" s="5"/>
      <c r="C64" s="12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20"/>
      <c r="R64" s="5"/>
      <c r="S64" s="5"/>
      <c r="T64" s="5"/>
      <c r="U64" s="5"/>
      <c r="V64" s="5"/>
      <c r="W64" s="25"/>
      <c r="X64" s="19"/>
    </row>
    <row r="65" spans="1:24" s="33" customFormat="1" hidden="1" x14ac:dyDescent="0.3">
      <c r="A65" s="19"/>
      <c r="B65" s="5"/>
      <c r="C65" s="12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20"/>
      <c r="R65" s="5"/>
      <c r="S65" s="5"/>
      <c r="T65" s="5"/>
      <c r="U65" s="5"/>
      <c r="V65" s="5"/>
      <c r="W65" s="25"/>
      <c r="X65" s="19"/>
    </row>
    <row r="66" spans="1:24" s="33" customFormat="1" hidden="1" x14ac:dyDescent="0.3">
      <c r="A66" s="19"/>
      <c r="B66" s="5"/>
      <c r="C66" s="12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20"/>
      <c r="R66" s="5"/>
      <c r="S66" s="5"/>
      <c r="T66" s="5"/>
      <c r="U66" s="5"/>
      <c r="V66" s="5"/>
      <c r="W66" s="25"/>
      <c r="X66" s="19"/>
    </row>
    <row r="67" spans="1:24" s="33" customFormat="1" hidden="1" x14ac:dyDescent="0.3">
      <c r="A67" s="19"/>
      <c r="B67" s="5"/>
      <c r="C67" s="12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20"/>
      <c r="R67" s="5"/>
      <c r="S67" s="5"/>
      <c r="T67" s="5"/>
      <c r="U67" s="5"/>
      <c r="V67" s="5"/>
      <c r="W67" s="25"/>
      <c r="X67" s="19"/>
    </row>
    <row r="68" spans="1:24" s="33" customFormat="1" hidden="1" x14ac:dyDescent="0.3">
      <c r="A68" s="19"/>
      <c r="B68" s="5"/>
      <c r="C68" s="12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20"/>
      <c r="R68" s="5"/>
      <c r="S68" s="5"/>
      <c r="T68" s="5"/>
      <c r="U68" s="5"/>
      <c r="V68" s="5"/>
      <c r="W68" s="25"/>
      <c r="X68" s="19"/>
    </row>
    <row r="69" spans="1:24" s="33" customFormat="1" hidden="1" x14ac:dyDescent="0.3">
      <c r="A69" s="19"/>
      <c r="B69" s="5"/>
      <c r="C69" s="12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20"/>
      <c r="R69" s="5"/>
      <c r="S69" s="5"/>
      <c r="T69" s="5"/>
      <c r="U69" s="5"/>
      <c r="V69" s="5"/>
      <c r="W69" s="25"/>
      <c r="X69" s="19"/>
    </row>
    <row r="70" spans="1:24" s="33" customFormat="1" hidden="1" x14ac:dyDescent="0.3">
      <c r="A70" s="19"/>
      <c r="B70" s="5"/>
      <c r="C70" s="12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20"/>
      <c r="R70" s="5"/>
      <c r="S70" s="5"/>
      <c r="T70" s="5"/>
      <c r="U70" s="5"/>
      <c r="V70" s="5"/>
      <c r="W70" s="25"/>
      <c r="X70" s="19"/>
    </row>
    <row r="71" spans="1:24" s="33" customFormat="1" hidden="1" x14ac:dyDescent="0.3">
      <c r="A71" s="19"/>
      <c r="B71" s="5"/>
      <c r="C71" s="12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20"/>
      <c r="R71" s="5"/>
      <c r="S71" s="5"/>
      <c r="T71" s="5"/>
      <c r="U71" s="5"/>
      <c r="V71" s="5"/>
      <c r="W71" s="25"/>
      <c r="X71" s="19"/>
    </row>
    <row r="72" spans="1:24" s="33" customFormat="1" hidden="1" x14ac:dyDescent="0.3">
      <c r="A72" s="19"/>
      <c r="B72" s="5"/>
      <c r="C72" s="12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20"/>
      <c r="R72" s="5"/>
      <c r="S72" s="5"/>
      <c r="T72" s="5"/>
      <c r="U72" s="5"/>
      <c r="V72" s="5"/>
      <c r="W72" s="25"/>
      <c r="X72" s="19"/>
    </row>
    <row r="73" spans="1:24" s="33" customFormat="1" hidden="1" x14ac:dyDescent="0.3">
      <c r="A73" s="19"/>
      <c r="B73" s="5"/>
      <c r="C73" s="12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20"/>
      <c r="R73" s="5"/>
      <c r="S73" s="5"/>
      <c r="T73" s="5"/>
      <c r="U73" s="5"/>
      <c r="V73" s="5"/>
      <c r="W73" s="25"/>
      <c r="X73" s="19"/>
    </row>
    <row r="74" spans="1:24" s="33" customFormat="1" hidden="1" x14ac:dyDescent="0.3">
      <c r="A74" s="19"/>
      <c r="B74" s="5"/>
      <c r="C74" s="12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20"/>
      <c r="R74" s="5"/>
      <c r="S74" s="5"/>
      <c r="T74" s="5"/>
      <c r="U74" s="5"/>
      <c r="V74" s="5"/>
      <c r="W74" s="25"/>
      <c r="X74" s="19"/>
    </row>
    <row r="75" spans="1:24" s="33" customFormat="1" hidden="1" x14ac:dyDescent="0.3">
      <c r="A75" s="19"/>
      <c r="B75" s="5"/>
      <c r="C75" s="12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20"/>
      <c r="R75" s="5"/>
      <c r="S75" s="5"/>
      <c r="T75" s="5"/>
      <c r="U75" s="5"/>
      <c r="V75" s="5"/>
      <c r="W75" s="25"/>
      <c r="X75" s="19"/>
    </row>
    <row r="76" spans="1:24" s="33" customFormat="1" x14ac:dyDescent="0.3">
      <c r="A76" s="19"/>
      <c r="B76" s="24"/>
      <c r="C76" s="13"/>
      <c r="D76" s="56"/>
      <c r="E76" s="31"/>
      <c r="F76" s="31"/>
      <c r="G76" s="31"/>
      <c r="H76" s="5"/>
      <c r="I76" s="5"/>
      <c r="J76" s="5"/>
      <c r="K76" s="5"/>
      <c r="L76" s="5"/>
      <c r="M76" s="5"/>
      <c r="N76" s="5"/>
      <c r="O76" s="5"/>
      <c r="P76" s="5"/>
      <c r="Q76" s="20"/>
      <c r="R76" s="5"/>
      <c r="S76" s="5"/>
      <c r="T76" s="5"/>
      <c r="U76" s="5"/>
      <c r="V76" s="5"/>
      <c r="W76" s="5"/>
      <c r="X76" s="19"/>
    </row>
    <row r="77" spans="1:24" s="33" customFormat="1" x14ac:dyDescent="0.3">
      <c r="A77" s="5"/>
      <c r="B77" s="5"/>
      <c r="C77" s="12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19"/>
    </row>
    <row r="78" spans="1:24" s="33" customFormat="1" x14ac:dyDescent="0.3">
      <c r="A78" s="6"/>
      <c r="B78" s="6"/>
      <c r="C78" s="8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52"/>
      <c r="P78" s="6"/>
      <c r="Q78" s="6"/>
      <c r="R78" s="6"/>
      <c r="S78" s="6"/>
      <c r="T78" s="6"/>
      <c r="U78" s="6"/>
      <c r="V78" s="6"/>
      <c r="W78" s="6"/>
      <c r="X78" s="53"/>
    </row>
    <row r="79" spans="1:24" s="40" customFormat="1" ht="15.6" x14ac:dyDescent="0.3">
      <c r="A79" s="21"/>
      <c r="B79" s="10"/>
      <c r="C79" s="16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22">
        <v>57325</v>
      </c>
      <c r="R79" s="10"/>
      <c r="S79" s="10"/>
      <c r="T79" s="10"/>
      <c r="U79" s="10"/>
      <c r="V79" s="10"/>
      <c r="W79" s="21"/>
      <c r="X79" s="27">
        <f>SUM(P75:P78)-SUM(V76:V78)</f>
        <v>0</v>
      </c>
    </row>
    <row r="80" spans="1:24" s="33" customFormat="1" x14ac:dyDescent="0.3">
      <c r="A80" s="19">
        <v>57325</v>
      </c>
      <c r="B80" s="5" t="s">
        <v>29</v>
      </c>
      <c r="C80" s="12">
        <v>45085</v>
      </c>
      <c r="D80" s="5">
        <v>14</v>
      </c>
      <c r="E80" s="5">
        <v>1082000</v>
      </c>
      <c r="F80" s="5">
        <v>0</v>
      </c>
      <c r="G80" s="5">
        <v>1082000</v>
      </c>
      <c r="H80" s="5">
        <v>194760</v>
      </c>
      <c r="I80" s="5">
        <v>1276760</v>
      </c>
      <c r="J80" s="5">
        <v>0</v>
      </c>
      <c r="K80" s="5">
        <v>0</v>
      </c>
      <c r="L80" s="5">
        <v>0</v>
      </c>
      <c r="M80" s="5">
        <v>0</v>
      </c>
      <c r="N80" s="5">
        <v>194760</v>
      </c>
      <c r="O80" s="5"/>
      <c r="P80" s="5">
        <v>1276760</v>
      </c>
      <c r="Q80" s="20"/>
      <c r="R80" s="5"/>
      <c r="S80" s="5" t="s">
        <v>30</v>
      </c>
      <c r="T80" s="5">
        <v>1276760</v>
      </c>
      <c r="U80" s="5">
        <v>0</v>
      </c>
      <c r="V80" s="5">
        <f>T80-U80</f>
        <v>1276760</v>
      </c>
      <c r="W80" s="25" t="s">
        <v>31</v>
      </c>
      <c r="X80" s="19"/>
    </row>
    <row r="81" spans="1:24" s="33" customFormat="1" x14ac:dyDescent="0.3">
      <c r="A81" s="19"/>
      <c r="B81" s="5"/>
      <c r="C81" s="12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20"/>
      <c r="R81" s="5"/>
      <c r="S81" s="5"/>
      <c r="T81" s="5"/>
      <c r="U81" s="5"/>
      <c r="V81" s="5"/>
      <c r="W81" s="25"/>
      <c r="X81" s="19"/>
    </row>
    <row r="82" spans="1:24" s="33" customFormat="1" x14ac:dyDescent="0.3">
      <c r="A82" s="19"/>
      <c r="B82" s="5"/>
      <c r="C82" s="12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20"/>
      <c r="R82" s="5"/>
      <c r="S82" s="5"/>
      <c r="T82" s="5"/>
      <c r="U82" s="5"/>
      <c r="V82" s="5"/>
      <c r="W82" s="25"/>
      <c r="X82" s="19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6EF1F-746F-4A02-89F2-7172BB7E0CB2}">
  <sheetPr>
    <pageSetUpPr fitToPage="1"/>
  </sheetPr>
  <dimension ref="A1:X48"/>
  <sheetViews>
    <sheetView tabSelected="1" view="pageBreakPreview" zoomScale="85" zoomScaleNormal="85" zoomScaleSheetLayoutView="85" workbookViewId="0">
      <selection activeCell="G4" sqref="G4"/>
    </sheetView>
  </sheetViews>
  <sheetFormatPr defaultColWidth="9" defaultRowHeight="24.9" customHeight="1" x14ac:dyDescent="0.3"/>
  <cols>
    <col min="1" max="1" width="7.5546875" style="33" bestFit="1" customWidth="1"/>
    <col min="2" max="2" width="31.33203125" style="33" customWidth="1"/>
    <col min="3" max="3" width="12.88671875" style="86" customWidth="1"/>
    <col min="4" max="4" width="10.88671875" style="66" bestFit="1" customWidth="1"/>
    <col min="5" max="5" width="11.88671875" style="33" bestFit="1" customWidth="1"/>
    <col min="6" max="6" width="11.44140625" style="33" bestFit="1" customWidth="1"/>
    <col min="7" max="7" width="15.5546875" style="33" bestFit="1" customWidth="1"/>
    <col min="8" max="8" width="12.5546875" style="1" bestFit="1" customWidth="1"/>
    <col min="9" max="9" width="13.6640625" style="1" bestFit="1" customWidth="1"/>
    <col min="10" max="10" width="10.88671875" style="33" bestFit="1" customWidth="1"/>
    <col min="11" max="11" width="14" style="33" bestFit="1" customWidth="1"/>
    <col min="12" max="12" width="15.109375" style="33" bestFit="1" customWidth="1"/>
    <col min="13" max="13" width="14.44140625" style="33" bestFit="1" customWidth="1"/>
    <col min="14" max="14" width="14.6640625" style="33" bestFit="1" customWidth="1"/>
    <col min="15" max="15" width="12.88671875" style="33" bestFit="1" customWidth="1"/>
    <col min="16" max="16" width="15.88671875" style="33" bestFit="1" customWidth="1"/>
    <col min="17" max="17" width="10.44140625" style="33" bestFit="1" customWidth="1"/>
    <col min="18" max="18" width="19.44140625" style="33" bestFit="1" customWidth="1"/>
    <col min="19" max="19" width="19.6640625" style="33" bestFit="1" customWidth="1"/>
    <col min="20" max="20" width="12.109375" style="33" bestFit="1" customWidth="1"/>
    <col min="21" max="21" width="13.5546875" style="33" customWidth="1"/>
    <col min="22" max="22" width="14.6640625" style="33" bestFit="1" customWidth="1"/>
    <col min="23" max="23" width="89.109375" style="33" bestFit="1" customWidth="1"/>
    <col min="24" max="24" width="17" style="33" bestFit="1" customWidth="1"/>
    <col min="25" max="16384" width="9" style="33"/>
  </cols>
  <sheetData>
    <row r="1" spans="1:24" ht="24.9" customHeight="1" thickBot="1" x14ac:dyDescent="0.35">
      <c r="A1" s="77" t="s">
        <v>126</v>
      </c>
      <c r="B1" s="65" t="s">
        <v>125</v>
      </c>
      <c r="E1" s="36"/>
      <c r="F1" s="36"/>
      <c r="G1" s="36"/>
    </row>
    <row r="2" spans="1:24" ht="24.9" customHeight="1" thickBot="1" x14ac:dyDescent="0.35">
      <c r="A2" s="77" t="s">
        <v>127</v>
      </c>
      <c r="B2" s="78" t="s">
        <v>128</v>
      </c>
      <c r="C2" s="87"/>
      <c r="D2" s="67"/>
      <c r="G2" s="3"/>
      <c r="I2" s="64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</row>
    <row r="3" spans="1:24" ht="24.9" customHeight="1" thickBot="1" x14ac:dyDescent="0.35">
      <c r="A3" s="77" t="s">
        <v>129</v>
      </c>
      <c r="B3" s="79" t="s">
        <v>130</v>
      </c>
      <c r="C3" s="88"/>
      <c r="D3" s="67"/>
      <c r="G3" s="3"/>
      <c r="I3" s="64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</row>
    <row r="4" spans="1:24" ht="24.9" customHeight="1" thickBot="1" x14ac:dyDescent="0.35">
      <c r="A4" s="77" t="s">
        <v>131</v>
      </c>
      <c r="B4" s="80" t="s">
        <v>130</v>
      </c>
      <c r="C4" s="89"/>
      <c r="D4" s="68"/>
      <c r="E4" s="37"/>
      <c r="F4" s="37"/>
      <c r="G4" s="37"/>
      <c r="H4" s="4"/>
      <c r="I4" s="4"/>
      <c r="J4" s="37"/>
      <c r="K4" s="37"/>
      <c r="L4" s="37"/>
      <c r="M4" s="37"/>
      <c r="R4" s="37"/>
      <c r="S4" s="37"/>
      <c r="T4" s="39"/>
      <c r="U4" s="39"/>
      <c r="V4" s="39"/>
      <c r="W4" s="39"/>
    </row>
    <row r="5" spans="1:24" ht="46.5" customHeight="1" x14ac:dyDescent="0.3">
      <c r="A5" s="81" t="s">
        <v>132</v>
      </c>
      <c r="B5" s="82" t="s">
        <v>133</v>
      </c>
      <c r="C5" s="90" t="s">
        <v>134</v>
      </c>
      <c r="D5" s="83" t="s">
        <v>135</v>
      </c>
      <c r="E5" s="82" t="s">
        <v>136</v>
      </c>
      <c r="F5" s="82" t="s">
        <v>137</v>
      </c>
      <c r="G5" s="83" t="s">
        <v>138</v>
      </c>
      <c r="H5" s="84" t="s">
        <v>139</v>
      </c>
      <c r="I5" s="85" t="s">
        <v>6</v>
      </c>
      <c r="J5" s="82" t="s">
        <v>140</v>
      </c>
      <c r="K5" s="82" t="s">
        <v>141</v>
      </c>
      <c r="L5" s="82" t="s">
        <v>142</v>
      </c>
      <c r="M5" s="44" t="s">
        <v>20</v>
      </c>
      <c r="N5" s="82" t="s">
        <v>143</v>
      </c>
      <c r="O5" s="44" t="s">
        <v>71</v>
      </c>
      <c r="P5" s="82" t="s">
        <v>144</v>
      </c>
      <c r="Q5" s="45"/>
      <c r="R5" s="42" t="s">
        <v>89</v>
      </c>
      <c r="S5" s="42" t="s">
        <v>9</v>
      </c>
      <c r="T5" s="82" t="s">
        <v>145</v>
      </c>
      <c r="U5" s="82" t="s">
        <v>146</v>
      </c>
      <c r="V5" s="82" t="s">
        <v>147</v>
      </c>
      <c r="W5" s="82" t="s">
        <v>11</v>
      </c>
      <c r="X5" s="18"/>
    </row>
    <row r="6" spans="1:24" ht="24.9" customHeight="1" thickBot="1" x14ac:dyDescent="0.35">
      <c r="A6" s="47"/>
      <c r="B6" s="7"/>
      <c r="C6" s="91"/>
      <c r="D6" s="70"/>
      <c r="E6" s="7"/>
      <c r="F6" s="7"/>
      <c r="G6" s="7"/>
      <c r="H6" s="50">
        <v>0.18</v>
      </c>
      <c r="I6" s="7"/>
      <c r="J6" s="50">
        <v>0.01</v>
      </c>
      <c r="K6" s="50">
        <v>0.05</v>
      </c>
      <c r="L6" s="50">
        <v>0</v>
      </c>
      <c r="M6" s="50">
        <v>0.1</v>
      </c>
      <c r="N6" s="50">
        <v>0.18</v>
      </c>
      <c r="O6" s="50"/>
      <c r="P6" s="7"/>
      <c r="Q6" s="51"/>
      <c r="R6" s="7"/>
      <c r="S6" s="7"/>
      <c r="T6" s="7"/>
      <c r="U6" s="50">
        <v>0.02</v>
      </c>
      <c r="V6" s="7"/>
      <c r="W6" s="7"/>
      <c r="X6" s="47"/>
    </row>
    <row r="7" spans="1:24" s="40" customFormat="1" ht="24.9" customHeight="1" x14ac:dyDescent="0.3">
      <c r="A7" s="21"/>
      <c r="B7" s="10"/>
      <c r="C7" s="92"/>
      <c r="D7" s="71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55">
        <f>A8</f>
        <v>54928</v>
      </c>
      <c r="R7" s="10"/>
      <c r="S7" s="10"/>
      <c r="T7" s="10"/>
      <c r="U7" s="10"/>
      <c r="V7" s="10"/>
      <c r="W7" s="21"/>
      <c r="X7" s="27"/>
    </row>
    <row r="8" spans="1:24" ht="24.9" customHeight="1" x14ac:dyDescent="0.3">
      <c r="A8" s="19">
        <v>54928</v>
      </c>
      <c r="B8" s="5" t="s">
        <v>148</v>
      </c>
      <c r="C8" s="93">
        <v>45016</v>
      </c>
      <c r="D8" s="72">
        <v>93</v>
      </c>
      <c r="E8" s="5">
        <v>676359.3</v>
      </c>
      <c r="F8" s="5">
        <v>206459.19999999998</v>
      </c>
      <c r="G8" s="5">
        <v>469900</v>
      </c>
      <c r="H8" s="5">
        <v>84582</v>
      </c>
      <c r="I8" s="5">
        <v>554482</v>
      </c>
      <c r="J8" s="5">
        <v>4699</v>
      </c>
      <c r="K8" s="5">
        <v>23495</v>
      </c>
      <c r="L8" s="5"/>
      <c r="M8" s="5">
        <v>46990</v>
      </c>
      <c r="N8" s="59">
        <v>84582</v>
      </c>
      <c r="O8" s="5"/>
      <c r="P8" s="5">
        <v>394716</v>
      </c>
      <c r="Q8" s="20"/>
      <c r="R8" s="5">
        <v>3675000</v>
      </c>
      <c r="S8" s="5" t="s">
        <v>46</v>
      </c>
      <c r="T8" s="5">
        <v>500000</v>
      </c>
      <c r="U8" s="5">
        <f>T8*2%</f>
        <v>10000</v>
      </c>
      <c r="V8" s="5">
        <f t="shared" ref="V8:V13" si="0">T8-U8</f>
        <v>490000</v>
      </c>
      <c r="W8" s="25" t="s">
        <v>47</v>
      </c>
      <c r="X8" s="19"/>
    </row>
    <row r="9" spans="1:24" ht="24.9" customHeight="1" x14ac:dyDescent="0.3">
      <c r="A9" s="19">
        <v>54928</v>
      </c>
      <c r="B9" s="5" t="s">
        <v>148</v>
      </c>
      <c r="C9" s="93">
        <v>45107</v>
      </c>
      <c r="D9" s="72">
        <v>43</v>
      </c>
      <c r="E9" s="5">
        <v>676359.3</v>
      </c>
      <c r="F9" s="5">
        <v>297856.48</v>
      </c>
      <c r="G9" s="5">
        <v>378503</v>
      </c>
      <c r="H9" s="5">
        <v>68131</v>
      </c>
      <c r="I9" s="5">
        <v>446634</v>
      </c>
      <c r="J9" s="5">
        <v>3785</v>
      </c>
      <c r="K9" s="5">
        <v>18925</v>
      </c>
      <c r="L9" s="5"/>
      <c r="M9" s="5">
        <v>37850</v>
      </c>
      <c r="N9" s="59">
        <v>68131</v>
      </c>
      <c r="O9" s="5"/>
      <c r="P9" s="5">
        <v>307823</v>
      </c>
      <c r="Q9" s="20"/>
      <c r="R9" s="5"/>
      <c r="S9" s="5" t="s">
        <v>85</v>
      </c>
      <c r="T9" s="5">
        <v>214175</v>
      </c>
      <c r="U9" s="5">
        <v>0</v>
      </c>
      <c r="V9" s="5">
        <f t="shared" si="0"/>
        <v>214175</v>
      </c>
      <c r="W9" s="25" t="s">
        <v>64</v>
      </c>
      <c r="X9" s="19"/>
    </row>
    <row r="10" spans="1:24" ht="24.9" customHeight="1" x14ac:dyDescent="0.3">
      <c r="A10" s="19">
        <v>54928</v>
      </c>
      <c r="B10" s="5" t="s">
        <v>48</v>
      </c>
      <c r="C10" s="93"/>
      <c r="D10" s="72"/>
      <c r="E10" s="5"/>
      <c r="F10" s="5"/>
      <c r="G10" s="5"/>
      <c r="H10" s="5"/>
      <c r="I10" s="5"/>
      <c r="J10" s="5"/>
      <c r="K10" s="5"/>
      <c r="L10" s="5"/>
      <c r="M10" s="5"/>
      <c r="N10" s="59"/>
      <c r="O10" s="5"/>
      <c r="P10" s="5">
        <v>-10120</v>
      </c>
      <c r="Q10" s="20"/>
      <c r="R10" s="5"/>
      <c r="S10" s="5" t="s">
        <v>86</v>
      </c>
      <c r="T10" s="5">
        <v>88902</v>
      </c>
      <c r="U10" s="5">
        <v>0</v>
      </c>
      <c r="V10" s="5">
        <f t="shared" si="0"/>
        <v>88902</v>
      </c>
      <c r="W10" s="25" t="s">
        <v>65</v>
      </c>
      <c r="X10" s="19"/>
    </row>
    <row r="11" spans="1:24" ht="24.9" customHeight="1" x14ac:dyDescent="0.3">
      <c r="A11" s="19">
        <v>54928</v>
      </c>
      <c r="B11" s="5" t="s">
        <v>148</v>
      </c>
      <c r="C11" s="93">
        <v>45128</v>
      </c>
      <c r="D11" s="72">
        <v>53</v>
      </c>
      <c r="E11" s="5">
        <v>117229.91</v>
      </c>
      <c r="F11" s="5">
        <v>10120</v>
      </c>
      <c r="G11" s="5">
        <v>107110</v>
      </c>
      <c r="H11" s="5">
        <v>19280</v>
      </c>
      <c r="I11" s="5">
        <v>126390</v>
      </c>
      <c r="J11" s="5">
        <v>1071</v>
      </c>
      <c r="K11" s="5">
        <v>5356</v>
      </c>
      <c r="L11" s="5">
        <v>0</v>
      </c>
      <c r="M11" s="5">
        <v>10711</v>
      </c>
      <c r="N11" s="59">
        <v>19280</v>
      </c>
      <c r="O11" s="5"/>
      <c r="P11" s="5">
        <v>89972</v>
      </c>
      <c r="Q11" s="20"/>
      <c r="R11" s="5"/>
      <c r="S11" s="5" t="s">
        <v>102</v>
      </c>
      <c r="T11" s="5">
        <v>500000</v>
      </c>
      <c r="U11" s="5">
        <f>T11*2%</f>
        <v>10000</v>
      </c>
      <c r="V11" s="5">
        <f t="shared" si="0"/>
        <v>490000</v>
      </c>
      <c r="W11" s="29" t="s">
        <v>101</v>
      </c>
      <c r="X11" s="19"/>
    </row>
    <row r="12" spans="1:24" ht="24.9" customHeight="1" x14ac:dyDescent="0.3">
      <c r="A12" s="19">
        <v>54928</v>
      </c>
      <c r="B12" s="23" t="s">
        <v>68</v>
      </c>
      <c r="C12" s="93">
        <v>45180</v>
      </c>
      <c r="D12" s="24">
        <v>93</v>
      </c>
      <c r="E12" s="5">
        <v>84582</v>
      </c>
      <c r="F12" s="5"/>
      <c r="G12" s="5"/>
      <c r="H12" s="5"/>
      <c r="I12" s="5"/>
      <c r="J12" s="5"/>
      <c r="K12" s="5"/>
      <c r="L12" s="5"/>
      <c r="M12" s="5"/>
      <c r="N12" s="5"/>
      <c r="O12" s="5"/>
      <c r="P12" s="59">
        <f>E12</f>
        <v>84582</v>
      </c>
      <c r="Q12" s="20"/>
      <c r="R12" s="5">
        <f>R8-T10-T11-T12-T9-T8-T13</f>
        <v>1571923</v>
      </c>
      <c r="S12" s="5" t="s">
        <v>87</v>
      </c>
      <c r="T12" s="5">
        <v>300000</v>
      </c>
      <c r="U12" s="5">
        <f>T12*2%</f>
        <v>6000</v>
      </c>
      <c r="V12" s="5">
        <f t="shared" si="0"/>
        <v>294000</v>
      </c>
      <c r="W12" s="25" t="s">
        <v>84</v>
      </c>
      <c r="X12" s="19"/>
    </row>
    <row r="13" spans="1:24" ht="24.9" customHeight="1" x14ac:dyDescent="0.3">
      <c r="A13" s="19">
        <v>54928</v>
      </c>
      <c r="B13" s="23" t="s">
        <v>68</v>
      </c>
      <c r="C13" s="93">
        <v>45180</v>
      </c>
      <c r="D13" s="72">
        <v>43</v>
      </c>
      <c r="E13" s="5">
        <v>68131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9">
        <f t="shared" ref="P13:P14" si="1">E13</f>
        <v>68131</v>
      </c>
      <c r="Q13" s="5">
        <v>0</v>
      </c>
      <c r="R13" s="5"/>
      <c r="S13" s="5" t="s">
        <v>108</v>
      </c>
      <c r="T13" s="5">
        <v>500000</v>
      </c>
      <c r="U13" s="5">
        <f>T13*2%</f>
        <v>10000</v>
      </c>
      <c r="V13" s="5">
        <f t="shared" si="0"/>
        <v>490000</v>
      </c>
      <c r="W13" s="25" t="s">
        <v>107</v>
      </c>
      <c r="X13" s="19"/>
    </row>
    <row r="14" spans="1:24" ht="24.9" customHeight="1" x14ac:dyDescent="0.3">
      <c r="A14" s="19">
        <v>54928</v>
      </c>
      <c r="B14" s="23" t="s">
        <v>68</v>
      </c>
      <c r="C14" s="93">
        <v>45170</v>
      </c>
      <c r="D14" s="72">
        <v>53</v>
      </c>
      <c r="E14" s="5">
        <v>19280</v>
      </c>
      <c r="F14" s="5"/>
      <c r="G14" s="5"/>
      <c r="H14" s="5"/>
      <c r="I14" s="5"/>
      <c r="J14" s="5"/>
      <c r="K14" s="5"/>
      <c r="L14" s="5"/>
      <c r="M14" s="5"/>
      <c r="N14" s="5"/>
      <c r="O14" s="5"/>
      <c r="P14" s="59">
        <f t="shared" si="1"/>
        <v>19280</v>
      </c>
      <c r="Q14" s="5">
        <v>0</v>
      </c>
      <c r="R14" s="5"/>
      <c r="S14" s="5"/>
      <c r="T14" s="5"/>
      <c r="U14" s="5"/>
      <c r="V14" s="5"/>
      <c r="W14" s="25"/>
      <c r="X14" s="19"/>
    </row>
    <row r="15" spans="1:24" ht="24.9" customHeight="1" x14ac:dyDescent="0.3">
      <c r="A15" s="19">
        <v>54928</v>
      </c>
      <c r="B15" s="5" t="s">
        <v>148</v>
      </c>
      <c r="C15" s="93">
        <v>45178</v>
      </c>
      <c r="D15" s="72">
        <v>72</v>
      </c>
      <c r="E15" s="5">
        <v>1102500</v>
      </c>
      <c r="F15" s="5">
        <v>664343</v>
      </c>
      <c r="G15" s="5">
        <f>ROUND(E15-F15,)</f>
        <v>438157</v>
      </c>
      <c r="H15" s="5">
        <f>G15*18%</f>
        <v>78868.259999999995</v>
      </c>
      <c r="I15" s="5">
        <f>G15+H15</f>
        <v>517025.26</v>
      </c>
      <c r="J15" s="5">
        <f>G15*1%</f>
        <v>4381.57</v>
      </c>
      <c r="K15" s="5">
        <f>G15*5%</f>
        <v>21907.850000000002</v>
      </c>
      <c r="L15" s="5"/>
      <c r="M15" s="5"/>
      <c r="N15" s="59">
        <f>H15</f>
        <v>78868.259999999995</v>
      </c>
      <c r="O15" s="5"/>
      <c r="P15" s="5">
        <f>I15-J15-K15-M15-N15</f>
        <v>411867.58</v>
      </c>
      <c r="Q15" s="5"/>
      <c r="R15" s="5"/>
      <c r="S15" s="5"/>
      <c r="T15" s="5"/>
      <c r="U15" s="5"/>
      <c r="V15" s="5"/>
      <c r="W15" s="25"/>
      <c r="X15" s="19"/>
    </row>
    <row r="16" spans="1:24" ht="24.9" customHeight="1" x14ac:dyDescent="0.3">
      <c r="A16" s="19">
        <v>54928</v>
      </c>
      <c r="B16" s="5" t="s">
        <v>148</v>
      </c>
      <c r="C16" s="93">
        <v>45182</v>
      </c>
      <c r="D16" s="72">
        <v>83</v>
      </c>
      <c r="E16" s="5">
        <v>183750</v>
      </c>
      <c r="F16" s="5">
        <v>0</v>
      </c>
      <c r="G16" s="5">
        <f>ROUND(E16-F16,)</f>
        <v>183750</v>
      </c>
      <c r="H16" s="5">
        <f>G16*18%</f>
        <v>33075</v>
      </c>
      <c r="I16" s="5">
        <f>G16+H16</f>
        <v>216825</v>
      </c>
      <c r="J16" s="5">
        <f>G16*1%</f>
        <v>1837.5</v>
      </c>
      <c r="K16" s="5">
        <f>G16*5%</f>
        <v>9187.5</v>
      </c>
      <c r="L16" s="5"/>
      <c r="M16" s="5">
        <f>10%*G16</f>
        <v>18375</v>
      </c>
      <c r="N16" s="59">
        <f>H16</f>
        <v>33075</v>
      </c>
      <c r="O16" s="5"/>
      <c r="P16" s="59">
        <f>I16-J16-K16-M16-N16</f>
        <v>154350</v>
      </c>
      <c r="Q16" s="5"/>
      <c r="R16" s="5"/>
      <c r="S16" s="5"/>
      <c r="T16" s="5"/>
      <c r="U16" s="5"/>
      <c r="V16" s="5"/>
      <c r="W16" s="25"/>
      <c r="X16" s="19"/>
    </row>
    <row r="17" spans="1:24" ht="24.9" customHeight="1" x14ac:dyDescent="0.3">
      <c r="A17" s="19">
        <v>54928</v>
      </c>
      <c r="B17" s="23" t="s">
        <v>68</v>
      </c>
      <c r="C17" s="93"/>
      <c r="D17" s="72" t="s">
        <v>116</v>
      </c>
      <c r="E17" s="5">
        <f>N15+N16</f>
        <v>111943.26</v>
      </c>
      <c r="F17" s="5"/>
      <c r="G17" s="5"/>
      <c r="H17" s="5"/>
      <c r="I17" s="5"/>
      <c r="J17" s="5"/>
      <c r="K17" s="5"/>
      <c r="L17" s="5"/>
      <c r="M17" s="5"/>
      <c r="N17" s="5"/>
      <c r="O17" s="5"/>
      <c r="P17" s="59">
        <f>E17</f>
        <v>111943.26</v>
      </c>
      <c r="Q17" s="5"/>
      <c r="R17" s="5"/>
      <c r="S17" s="5"/>
      <c r="T17" s="5"/>
      <c r="U17" s="5"/>
      <c r="V17" s="5"/>
      <c r="W17" s="25"/>
      <c r="X17" s="19"/>
    </row>
    <row r="18" spans="1:24" s="40" customFormat="1" ht="24.9" customHeight="1" x14ac:dyDescent="0.3">
      <c r="A18" s="21"/>
      <c r="B18" s="10"/>
      <c r="C18" s="92"/>
      <c r="D18" s="71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55">
        <f>A19</f>
        <v>54927</v>
      </c>
      <c r="R18" s="10"/>
      <c r="S18" s="10"/>
      <c r="T18" s="10"/>
      <c r="U18" s="10"/>
      <c r="V18" s="10"/>
      <c r="W18" s="21"/>
      <c r="X18" s="27">
        <f>SUM(P8:P17)-SUM(V8:V17)</f>
        <v>-434532.15999999992</v>
      </c>
    </row>
    <row r="19" spans="1:24" ht="24.9" customHeight="1" x14ac:dyDescent="0.3">
      <c r="A19" s="19">
        <v>54927</v>
      </c>
      <c r="B19" s="5" t="s">
        <v>149</v>
      </c>
      <c r="C19" s="93">
        <v>45016</v>
      </c>
      <c r="D19" s="72">
        <v>94</v>
      </c>
      <c r="E19" s="5">
        <v>647911</v>
      </c>
      <c r="F19" s="5">
        <v>309661</v>
      </c>
      <c r="G19" s="5">
        <v>338250</v>
      </c>
      <c r="H19" s="5">
        <v>60885</v>
      </c>
      <c r="I19" s="5">
        <v>399135</v>
      </c>
      <c r="J19" s="5">
        <v>3383</v>
      </c>
      <c r="K19" s="5">
        <v>16913</v>
      </c>
      <c r="L19" s="5">
        <v>0</v>
      </c>
      <c r="M19" s="5">
        <v>33825</v>
      </c>
      <c r="N19" s="59">
        <v>60885</v>
      </c>
      <c r="O19" s="5"/>
      <c r="P19" s="5">
        <v>284129</v>
      </c>
      <c r="Q19" s="20"/>
      <c r="R19" s="5">
        <v>3671250</v>
      </c>
      <c r="S19" s="5" t="s">
        <v>95</v>
      </c>
      <c r="T19" s="5">
        <v>500000</v>
      </c>
      <c r="U19" s="5">
        <f t="shared" ref="U19:U24" si="2">T19*2%</f>
        <v>10000</v>
      </c>
      <c r="V19" s="5">
        <f t="shared" ref="V19:V24" si="3">T19-U19</f>
        <v>490000</v>
      </c>
      <c r="W19" s="25" t="s">
        <v>94</v>
      </c>
      <c r="X19" s="19"/>
    </row>
    <row r="20" spans="1:24" ht="24.9" customHeight="1" x14ac:dyDescent="0.3">
      <c r="A20" s="19">
        <v>54927</v>
      </c>
      <c r="B20" s="5" t="s">
        <v>68</v>
      </c>
      <c r="C20" s="93">
        <v>45180</v>
      </c>
      <c r="D20" s="72">
        <v>93</v>
      </c>
      <c r="E20" s="5">
        <f>N19</f>
        <v>60885</v>
      </c>
      <c r="F20" s="5"/>
      <c r="G20" s="5"/>
      <c r="H20" s="5"/>
      <c r="I20" s="5"/>
      <c r="J20" s="5"/>
      <c r="K20" s="5"/>
      <c r="L20" s="5"/>
      <c r="M20" s="5"/>
      <c r="N20" s="5"/>
      <c r="O20" s="5"/>
      <c r="P20" s="59">
        <f>E20</f>
        <v>60885</v>
      </c>
      <c r="Q20" s="20"/>
      <c r="R20" s="5"/>
      <c r="S20" s="5" t="s">
        <v>82</v>
      </c>
      <c r="T20" s="5">
        <v>500000</v>
      </c>
      <c r="U20" s="5">
        <f t="shared" si="2"/>
        <v>10000</v>
      </c>
      <c r="V20" s="5">
        <f t="shared" si="3"/>
        <v>490000</v>
      </c>
      <c r="W20" s="25" t="s">
        <v>93</v>
      </c>
      <c r="X20" s="19"/>
    </row>
    <row r="21" spans="1:24" ht="24.9" customHeight="1" x14ac:dyDescent="0.3">
      <c r="A21" s="19">
        <v>54927</v>
      </c>
      <c r="B21" s="5" t="s">
        <v>149</v>
      </c>
      <c r="C21" s="94">
        <v>45178</v>
      </c>
      <c r="D21" s="24">
        <v>74</v>
      </c>
      <c r="E21" s="5">
        <v>734250</v>
      </c>
      <c r="F21" s="5">
        <v>647911</v>
      </c>
      <c r="G21" s="5">
        <f>ROUND(E21-F21,)</f>
        <v>86339</v>
      </c>
      <c r="H21" s="5">
        <f>ROUND(G21*$H$6,0)</f>
        <v>15541</v>
      </c>
      <c r="I21" s="5">
        <f>G21+H21</f>
        <v>101880</v>
      </c>
      <c r="J21" s="5">
        <f>ROUND(G21*$J$6,)</f>
        <v>863</v>
      </c>
      <c r="K21" s="5">
        <f>ROUND(G21*$K$6,)</f>
        <v>4317</v>
      </c>
      <c r="L21" s="5">
        <f>ROUND(G21*$L$6,)</f>
        <v>0</v>
      </c>
      <c r="M21" s="5">
        <v>0</v>
      </c>
      <c r="N21" s="59">
        <f>H21</f>
        <v>15541</v>
      </c>
      <c r="O21" s="5"/>
      <c r="P21" s="5">
        <f>ROUND(I21-SUM(J21:N21),0)</f>
        <v>81159</v>
      </c>
      <c r="Q21" s="20"/>
      <c r="R21" s="5"/>
      <c r="S21" s="5" t="s">
        <v>82</v>
      </c>
      <c r="T21" s="5">
        <v>500000</v>
      </c>
      <c r="U21" s="5">
        <f t="shared" si="2"/>
        <v>10000</v>
      </c>
      <c r="V21" s="5">
        <f t="shared" si="3"/>
        <v>490000</v>
      </c>
      <c r="W21" s="25" t="s">
        <v>81</v>
      </c>
      <c r="X21" s="19"/>
    </row>
    <row r="22" spans="1:24" ht="24.9" customHeight="1" x14ac:dyDescent="0.3">
      <c r="A22" s="19">
        <v>54927</v>
      </c>
      <c r="B22" s="5" t="s">
        <v>149</v>
      </c>
      <c r="C22" s="94">
        <v>45213</v>
      </c>
      <c r="D22" s="24">
        <v>89</v>
      </c>
      <c r="E22" s="5">
        <v>367125</v>
      </c>
      <c r="F22" s="5">
        <v>127766.16</v>
      </c>
      <c r="G22" s="5">
        <f>ROUND(E22-F22,)</f>
        <v>239359</v>
      </c>
      <c r="H22" s="5">
        <f>G22*18%</f>
        <v>43084.619999999995</v>
      </c>
      <c r="I22" s="5">
        <f>G22+H22</f>
        <v>282443.62</v>
      </c>
      <c r="J22" s="5">
        <f>ROUND(G22*$J$6,)</f>
        <v>2394</v>
      </c>
      <c r="K22" s="5">
        <f>ROUND(G22*$K$6,)</f>
        <v>11968</v>
      </c>
      <c r="L22" s="5">
        <f>ROUND(G22*$L$6,)</f>
        <v>0</v>
      </c>
      <c r="M22" s="5">
        <f>G22*10%</f>
        <v>23935.9</v>
      </c>
      <c r="N22" s="59">
        <f>H22</f>
        <v>43084.619999999995</v>
      </c>
      <c r="O22" s="5"/>
      <c r="P22" s="5">
        <f>ROUND(I22-SUM(J22:N22),0)</f>
        <v>201061</v>
      </c>
      <c r="Q22" s="20"/>
      <c r="R22" s="5"/>
      <c r="S22" s="5" t="s">
        <v>100</v>
      </c>
      <c r="T22" s="5">
        <v>500000</v>
      </c>
      <c r="U22" s="5">
        <f t="shared" si="2"/>
        <v>10000</v>
      </c>
      <c r="V22" s="5">
        <f t="shared" si="3"/>
        <v>490000</v>
      </c>
      <c r="W22" s="25" t="s">
        <v>99</v>
      </c>
      <c r="X22" s="19"/>
    </row>
    <row r="23" spans="1:24" ht="24.9" customHeight="1" x14ac:dyDescent="0.3">
      <c r="A23" s="19">
        <v>54927</v>
      </c>
      <c r="B23" s="5" t="s">
        <v>149</v>
      </c>
      <c r="C23" s="94">
        <v>45240</v>
      </c>
      <c r="D23" s="24">
        <v>98</v>
      </c>
      <c r="E23" s="5">
        <v>367125</v>
      </c>
      <c r="F23" s="5">
        <v>78292</v>
      </c>
      <c r="G23" s="5">
        <f>ROUND(E23-F23,)</f>
        <v>288833</v>
      </c>
      <c r="H23" s="5">
        <f>G23*18%</f>
        <v>51989.939999999995</v>
      </c>
      <c r="I23" s="5">
        <f>G23+H23</f>
        <v>340822.94</v>
      </c>
      <c r="J23" s="5">
        <f>ROUND(G23*$J$6,)</f>
        <v>2888</v>
      </c>
      <c r="K23" s="5">
        <f>ROUND(G23*$K$6,)</f>
        <v>14442</v>
      </c>
      <c r="L23" s="5">
        <f>ROUND(G23*$L$6,)</f>
        <v>0</v>
      </c>
      <c r="M23" s="5">
        <f>G23*10%</f>
        <v>28883.300000000003</v>
      </c>
      <c r="N23" s="5">
        <f>H23</f>
        <v>51989.939999999995</v>
      </c>
      <c r="O23" s="5"/>
      <c r="P23" s="5">
        <f>ROUND(I23-SUM(J23:N23),0)</f>
        <v>242620</v>
      </c>
      <c r="Q23" s="20"/>
      <c r="R23" s="5">
        <f>R19-T21-T22-T23-T20-T19-T24</f>
        <v>371250</v>
      </c>
      <c r="S23" s="5" t="s">
        <v>105</v>
      </c>
      <c r="T23" s="5">
        <v>1000000</v>
      </c>
      <c r="U23" s="5">
        <f t="shared" si="2"/>
        <v>20000</v>
      </c>
      <c r="V23" s="5">
        <f t="shared" si="3"/>
        <v>980000</v>
      </c>
      <c r="W23" s="25" t="s">
        <v>103</v>
      </c>
      <c r="X23" s="19"/>
    </row>
    <row r="24" spans="1:24" ht="24.9" customHeight="1" x14ac:dyDescent="0.3">
      <c r="A24" s="19">
        <v>54927</v>
      </c>
      <c r="B24" s="15" t="s">
        <v>111</v>
      </c>
      <c r="C24" s="94"/>
      <c r="D24" s="15" t="s">
        <v>115</v>
      </c>
      <c r="E24" s="5">
        <f>N21+N22</f>
        <v>58625.619999999995</v>
      </c>
      <c r="F24" s="5"/>
      <c r="G24" s="15"/>
      <c r="H24" s="5"/>
      <c r="I24" s="5"/>
      <c r="J24" s="5"/>
      <c r="K24" s="5"/>
      <c r="L24" s="5"/>
      <c r="M24" s="5"/>
      <c r="N24" s="5"/>
      <c r="O24" s="5"/>
      <c r="P24" s="59">
        <f>E24</f>
        <v>58625.619999999995</v>
      </c>
      <c r="Q24" s="20"/>
      <c r="R24" s="5"/>
      <c r="S24" s="5" t="s">
        <v>106</v>
      </c>
      <c r="T24" s="5">
        <v>300000</v>
      </c>
      <c r="U24" s="5">
        <f t="shared" si="2"/>
        <v>6000</v>
      </c>
      <c r="V24" s="5">
        <f t="shared" si="3"/>
        <v>294000</v>
      </c>
      <c r="W24" s="25" t="s">
        <v>104</v>
      </c>
      <c r="X24" s="19"/>
    </row>
    <row r="25" spans="1:24" s="40" customFormat="1" ht="24.9" customHeight="1" x14ac:dyDescent="0.3">
      <c r="A25" s="21"/>
      <c r="B25" s="10"/>
      <c r="C25" s="92"/>
      <c r="D25" s="71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55">
        <f>A26</f>
        <v>54926</v>
      </c>
      <c r="R25" s="10"/>
      <c r="S25" s="10"/>
      <c r="T25" s="10"/>
      <c r="U25" s="10"/>
      <c r="V25" s="10"/>
      <c r="W25" s="21"/>
      <c r="X25" s="27">
        <f>SUM(P19:P24)-SUM(V19:V24)</f>
        <v>-2305520.38</v>
      </c>
    </row>
    <row r="26" spans="1:24" ht="24.9" customHeight="1" x14ac:dyDescent="0.3">
      <c r="A26" s="19">
        <v>54926</v>
      </c>
      <c r="B26" s="5" t="s">
        <v>150</v>
      </c>
      <c r="C26" s="93">
        <v>45016</v>
      </c>
      <c r="D26" s="72">
        <v>95</v>
      </c>
      <c r="E26" s="5">
        <v>691898</v>
      </c>
      <c r="F26" s="5">
        <v>406398</v>
      </c>
      <c r="G26" s="5">
        <f>E26-F26</f>
        <v>285500</v>
      </c>
      <c r="H26" s="5">
        <f>G26*18%</f>
        <v>51390</v>
      </c>
      <c r="I26" s="5">
        <v>399135</v>
      </c>
      <c r="J26" s="5">
        <v>3383</v>
      </c>
      <c r="K26" s="5">
        <v>16913</v>
      </c>
      <c r="L26" s="5">
        <v>0</v>
      </c>
      <c r="M26" s="5">
        <v>33825</v>
      </c>
      <c r="N26" s="59">
        <v>60885</v>
      </c>
      <c r="O26" s="5"/>
      <c r="P26" s="5">
        <f>G26-J26-M26</f>
        <v>248292</v>
      </c>
      <c r="Q26" s="20" t="s">
        <v>98</v>
      </c>
      <c r="R26" s="5">
        <v>3981250</v>
      </c>
      <c r="S26" s="5" t="s">
        <v>51</v>
      </c>
      <c r="T26" s="5">
        <v>280747</v>
      </c>
      <c r="U26" s="5">
        <v>0</v>
      </c>
      <c r="V26" s="5">
        <f>T26-U26</f>
        <v>280747</v>
      </c>
      <c r="W26" s="25" t="s">
        <v>52</v>
      </c>
      <c r="X26" s="19"/>
    </row>
    <row r="27" spans="1:24" ht="24.9" customHeight="1" x14ac:dyDescent="0.3">
      <c r="A27" s="19">
        <v>54926</v>
      </c>
      <c r="B27" s="5" t="s">
        <v>68</v>
      </c>
      <c r="C27" s="93">
        <v>45180</v>
      </c>
      <c r="D27" s="72">
        <v>95</v>
      </c>
      <c r="E27" s="5">
        <f>N26</f>
        <v>60885</v>
      </c>
      <c r="F27" s="5"/>
      <c r="G27" s="5"/>
      <c r="H27" s="5"/>
      <c r="I27" s="5"/>
      <c r="J27" s="5"/>
      <c r="K27" s="5"/>
      <c r="L27" s="5"/>
      <c r="M27" s="5"/>
      <c r="N27" s="5"/>
      <c r="O27" s="5"/>
      <c r="P27" s="59">
        <f>E27</f>
        <v>60885</v>
      </c>
      <c r="Q27" s="20"/>
      <c r="R27" s="5"/>
      <c r="S27" s="5" t="s">
        <v>83</v>
      </c>
      <c r="T27" s="5">
        <v>500000</v>
      </c>
      <c r="U27" s="5">
        <f>T27*2%</f>
        <v>10000</v>
      </c>
      <c r="V27" s="5">
        <f>T27-U27</f>
        <v>490000</v>
      </c>
      <c r="W27" s="25" t="s">
        <v>80</v>
      </c>
      <c r="X27" s="19"/>
    </row>
    <row r="28" spans="1:24" ht="24.9" customHeight="1" x14ac:dyDescent="0.3">
      <c r="A28" s="19">
        <v>54926</v>
      </c>
      <c r="B28" s="5" t="s">
        <v>150</v>
      </c>
      <c r="C28" s="93">
        <v>45016</v>
      </c>
      <c r="D28" s="72">
        <v>73</v>
      </c>
      <c r="E28" s="5">
        <v>796250</v>
      </c>
      <c r="F28" s="5">
        <v>691901</v>
      </c>
      <c r="G28" s="5">
        <f>E28-F28</f>
        <v>104349</v>
      </c>
      <c r="H28" s="5">
        <f>G28*18%</f>
        <v>18782.82</v>
      </c>
      <c r="I28" s="5">
        <f>G28+H28</f>
        <v>123131.82</v>
      </c>
      <c r="J28" s="5">
        <f>1%*G28</f>
        <v>1043.49</v>
      </c>
      <c r="K28" s="5">
        <f>5%*G28</f>
        <v>5217.4500000000007</v>
      </c>
      <c r="L28" s="5">
        <v>0</v>
      </c>
      <c r="M28" s="5">
        <v>0</v>
      </c>
      <c r="N28" s="59">
        <f>H28</f>
        <v>18782.82</v>
      </c>
      <c r="O28" s="5"/>
      <c r="P28" s="5">
        <f>G28-J28-K28</f>
        <v>98088.06</v>
      </c>
      <c r="Q28" s="20"/>
      <c r="R28" s="5"/>
      <c r="S28" s="5" t="s">
        <v>96</v>
      </c>
      <c r="T28" s="5">
        <v>500000</v>
      </c>
      <c r="U28" s="5">
        <f>T28*2%</f>
        <v>10000</v>
      </c>
      <c r="V28" s="5">
        <f>T28-U28</f>
        <v>490000</v>
      </c>
      <c r="W28" s="25" t="s">
        <v>97</v>
      </c>
      <c r="X28" s="19"/>
    </row>
    <row r="29" spans="1:24" ht="24.9" customHeight="1" x14ac:dyDescent="0.3">
      <c r="A29" s="19">
        <v>54926</v>
      </c>
      <c r="B29" s="5" t="s">
        <v>150</v>
      </c>
      <c r="C29" s="93">
        <v>45016</v>
      </c>
      <c r="D29" s="72">
        <v>82</v>
      </c>
      <c r="E29" s="5">
        <v>796250</v>
      </c>
      <c r="F29" s="5">
        <v>208428</v>
      </c>
      <c r="G29" s="5">
        <f>E29-F29</f>
        <v>587822</v>
      </c>
      <c r="H29" s="5">
        <f>G29*18%</f>
        <v>105807.95999999999</v>
      </c>
      <c r="I29" s="5">
        <f>G29+H29</f>
        <v>693629.96</v>
      </c>
      <c r="J29" s="5">
        <f>1%*G29</f>
        <v>5878.22</v>
      </c>
      <c r="K29" s="5">
        <f>5%*G29</f>
        <v>29391.100000000002</v>
      </c>
      <c r="L29" s="5">
        <v>0</v>
      </c>
      <c r="M29" s="5">
        <f>10%*G29</f>
        <v>58782.200000000004</v>
      </c>
      <c r="N29" s="59">
        <f>H29</f>
        <v>105807.95999999999</v>
      </c>
      <c r="O29" s="5">
        <v>79625</v>
      </c>
      <c r="P29" s="5">
        <f>G29-J29-K29-O29-M29</f>
        <v>414145.48000000004</v>
      </c>
      <c r="Q29" s="20"/>
      <c r="R29" s="5"/>
      <c r="S29" s="5"/>
      <c r="T29" s="5"/>
      <c r="U29" s="5"/>
      <c r="V29" s="5"/>
      <c r="W29" s="25"/>
      <c r="X29" s="19"/>
    </row>
    <row r="30" spans="1:24" ht="24.9" customHeight="1" x14ac:dyDescent="0.3">
      <c r="A30" s="19">
        <v>54926</v>
      </c>
      <c r="B30" s="5" t="s">
        <v>68</v>
      </c>
      <c r="C30" s="93"/>
      <c r="D30" s="72" t="s">
        <v>110</v>
      </c>
      <c r="E30" s="5">
        <f>N28+N29</f>
        <v>124590.78</v>
      </c>
      <c r="F30" s="5"/>
      <c r="G30" s="5"/>
      <c r="H30" s="5"/>
      <c r="I30" s="5"/>
      <c r="J30" s="5"/>
      <c r="K30" s="5"/>
      <c r="L30" s="5"/>
      <c r="M30" s="5"/>
      <c r="N30" s="5"/>
      <c r="O30" s="5"/>
      <c r="P30" s="59">
        <f>E30</f>
        <v>124590.78</v>
      </c>
      <c r="Q30" s="20"/>
      <c r="R30" s="5">
        <f>R26-T28-T29-T30-T27-T26</f>
        <v>2700503</v>
      </c>
      <c r="S30" s="5"/>
      <c r="T30" s="5"/>
      <c r="U30" s="5"/>
      <c r="V30" s="5"/>
      <c r="W30" s="25"/>
      <c r="X30" s="19"/>
    </row>
    <row r="31" spans="1:24" s="40" customFormat="1" ht="24.9" customHeight="1" x14ac:dyDescent="0.3">
      <c r="A31" s="21"/>
      <c r="B31" s="10"/>
      <c r="C31" s="92"/>
      <c r="D31" s="71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55">
        <f>A32</f>
        <v>54841</v>
      </c>
      <c r="R31" s="10"/>
      <c r="S31" s="10"/>
      <c r="T31" s="10"/>
      <c r="U31" s="10"/>
      <c r="V31" s="10"/>
      <c r="W31" s="21"/>
      <c r="X31" s="27">
        <f>SUM(P26:P30)-SUM(V26:V30)</f>
        <v>-314745.67999999993</v>
      </c>
    </row>
    <row r="32" spans="1:24" ht="24.9" customHeight="1" x14ac:dyDescent="0.3">
      <c r="A32" s="19">
        <v>54841</v>
      </c>
      <c r="B32" s="5" t="s">
        <v>77</v>
      </c>
      <c r="C32" s="94">
        <v>45183</v>
      </c>
      <c r="D32" s="72">
        <v>84</v>
      </c>
      <c r="E32" s="5">
        <v>199062</v>
      </c>
      <c r="F32" s="5">
        <v>0</v>
      </c>
      <c r="G32" s="5">
        <f>E32-F32</f>
        <v>199062</v>
      </c>
      <c r="H32" s="5">
        <f>G32*18%</f>
        <v>35831.159999999996</v>
      </c>
      <c r="I32" s="5">
        <f>G32+H32</f>
        <v>234893.16</v>
      </c>
      <c r="J32" s="5">
        <f>1%*G32</f>
        <v>1990.6200000000001</v>
      </c>
      <c r="K32" s="5">
        <f>5%*G32</f>
        <v>9953.1</v>
      </c>
      <c r="L32" s="5">
        <v>0</v>
      </c>
      <c r="M32" s="5">
        <v>0</v>
      </c>
      <c r="N32" s="59">
        <f>H32</f>
        <v>35831.159999999996</v>
      </c>
      <c r="O32" s="5">
        <v>0</v>
      </c>
      <c r="P32" s="5">
        <f>G32-J32-K32-O32-M32</f>
        <v>187118.28</v>
      </c>
      <c r="Q32" s="20"/>
      <c r="R32" s="5">
        <v>3981250</v>
      </c>
      <c r="S32" s="5" t="s">
        <v>56</v>
      </c>
      <c r="T32" s="5">
        <v>300000</v>
      </c>
      <c r="U32" s="5">
        <f>T32*2%</f>
        <v>6000</v>
      </c>
      <c r="V32" s="5">
        <f>T32-U32</f>
        <v>294000</v>
      </c>
      <c r="W32" s="25" t="s">
        <v>57</v>
      </c>
      <c r="X32" s="19"/>
    </row>
    <row r="33" spans="1:24" ht="24.9" customHeight="1" x14ac:dyDescent="0.3">
      <c r="A33" s="19">
        <v>54841</v>
      </c>
      <c r="B33" s="5" t="s">
        <v>77</v>
      </c>
      <c r="C33" s="94">
        <v>45209</v>
      </c>
      <c r="D33" s="72">
        <v>88</v>
      </c>
      <c r="E33" s="5">
        <v>398125</v>
      </c>
      <c r="F33" s="5">
        <v>115222</v>
      </c>
      <c r="G33" s="5">
        <f>E33-F33</f>
        <v>282903</v>
      </c>
      <c r="H33" s="5">
        <f>G33*18%</f>
        <v>50922.54</v>
      </c>
      <c r="I33" s="5">
        <f>G33+H33</f>
        <v>333825.53999999998</v>
      </c>
      <c r="J33" s="5">
        <f>1%*G33</f>
        <v>2829.03</v>
      </c>
      <c r="K33" s="5">
        <f>5%*G33</f>
        <v>14145.150000000001</v>
      </c>
      <c r="L33" s="5">
        <v>0</v>
      </c>
      <c r="M33" s="5">
        <v>0</v>
      </c>
      <c r="N33" s="59">
        <f>H33</f>
        <v>50922.54</v>
      </c>
      <c r="O33" s="5">
        <v>0</v>
      </c>
      <c r="P33" s="5">
        <f>G33-J33-K33-O33-M33</f>
        <v>265928.81999999995</v>
      </c>
      <c r="Q33" s="20"/>
      <c r="R33" s="5"/>
      <c r="S33" s="5" t="s">
        <v>79</v>
      </c>
      <c r="T33" s="5">
        <v>1000000</v>
      </c>
      <c r="U33" s="5">
        <f>T33*2%</f>
        <v>20000</v>
      </c>
      <c r="V33" s="5">
        <f>T33-U33</f>
        <v>980000</v>
      </c>
      <c r="W33" s="25" t="s">
        <v>78</v>
      </c>
      <c r="X33" s="19"/>
    </row>
    <row r="34" spans="1:24" ht="24.9" customHeight="1" x14ac:dyDescent="0.3">
      <c r="A34" s="19">
        <v>54841</v>
      </c>
      <c r="B34" s="5" t="s">
        <v>68</v>
      </c>
      <c r="C34" s="94"/>
      <c r="D34" s="72" t="s">
        <v>109</v>
      </c>
      <c r="E34" s="5">
        <f>N32+N33</f>
        <v>86753.7</v>
      </c>
      <c r="F34" s="5"/>
      <c r="G34" s="5"/>
      <c r="H34" s="5"/>
      <c r="I34" s="5"/>
      <c r="J34" s="5"/>
      <c r="K34" s="5"/>
      <c r="L34" s="5"/>
      <c r="M34" s="5"/>
      <c r="N34" s="5"/>
      <c r="O34" s="5"/>
      <c r="P34" s="59">
        <f>E34</f>
        <v>86753.7</v>
      </c>
      <c r="Q34" s="20"/>
      <c r="R34" s="5"/>
      <c r="S34" s="5" t="s">
        <v>91</v>
      </c>
      <c r="T34" s="5">
        <v>200000</v>
      </c>
      <c r="U34" s="5">
        <f>T34*2%</f>
        <v>4000</v>
      </c>
      <c r="V34" s="5">
        <f>T34-U34</f>
        <v>196000</v>
      </c>
      <c r="W34" s="25" t="s">
        <v>90</v>
      </c>
      <c r="X34" s="19"/>
    </row>
    <row r="35" spans="1:24" ht="24.9" customHeight="1" x14ac:dyDescent="0.3">
      <c r="A35" s="19">
        <v>54841</v>
      </c>
      <c r="B35" s="5"/>
      <c r="C35" s="94"/>
      <c r="D35" s="72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20"/>
      <c r="R35" s="5">
        <f>R32-T32-T33-T34-T35</f>
        <v>2481250</v>
      </c>
      <c r="S35" s="5"/>
      <c r="T35" s="5"/>
      <c r="U35" s="5"/>
      <c r="V35" s="5"/>
      <c r="W35" s="25"/>
      <c r="X35" s="19"/>
    </row>
    <row r="36" spans="1:24" ht="24.9" customHeight="1" thickBot="1" x14ac:dyDescent="0.35">
      <c r="A36" s="19">
        <v>54841</v>
      </c>
      <c r="B36" s="5"/>
      <c r="C36" s="94"/>
      <c r="D36" s="72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20"/>
      <c r="R36" s="5"/>
      <c r="S36" s="5"/>
      <c r="T36" s="5"/>
      <c r="U36" s="5"/>
      <c r="V36" s="5"/>
      <c r="W36" s="25"/>
      <c r="X36" s="27">
        <f>SUM(P32:P35)-SUM(V32:V35)</f>
        <v>-930199.20000000007</v>
      </c>
    </row>
    <row r="37" spans="1:24" ht="24.9" customHeight="1" x14ac:dyDescent="0.3">
      <c r="A37" s="42"/>
      <c r="B37" s="42"/>
      <c r="C37" s="95"/>
      <c r="D37" s="69"/>
      <c r="E37" s="42"/>
      <c r="F37" s="42"/>
      <c r="G37" s="54">
        <f>SUM(G7:G36)</f>
        <v>3989837</v>
      </c>
      <c r="H37" s="54">
        <f t="shared" ref="H37:J37" si="4">SUM(H7:H36)</f>
        <v>718171.3</v>
      </c>
      <c r="I37" s="54">
        <f t="shared" si="4"/>
        <v>4770253.3</v>
      </c>
      <c r="J37" s="54">
        <f t="shared" si="4"/>
        <v>40426.43</v>
      </c>
      <c r="K37" s="54">
        <f t="shared" ref="K37:P37" si="5">SUM(K7:K36)</f>
        <v>202131.15000000002</v>
      </c>
      <c r="L37" s="54">
        <f t="shared" si="5"/>
        <v>0</v>
      </c>
      <c r="M37" s="54">
        <f t="shared" si="5"/>
        <v>293177.40000000002</v>
      </c>
      <c r="N37" s="54">
        <f t="shared" si="5"/>
        <v>727666.3</v>
      </c>
      <c r="O37" s="54">
        <f t="shared" si="5"/>
        <v>79625</v>
      </c>
      <c r="P37" s="54">
        <f t="shared" si="5"/>
        <v>4046826.5799999996</v>
      </c>
      <c r="Q37" s="54"/>
      <c r="R37" s="75" t="s">
        <v>18</v>
      </c>
      <c r="S37" s="76"/>
      <c r="T37" s="54"/>
      <c r="U37" s="54"/>
      <c r="V37" s="54">
        <f>SUM(V6:V36)</f>
        <v>8031824</v>
      </c>
      <c r="W37" s="42"/>
      <c r="X37" s="54">
        <f>SUM(X6:X36)</f>
        <v>-3984997.42</v>
      </c>
    </row>
    <row r="38" spans="1:24" ht="24.9" customHeight="1" x14ac:dyDescent="0.3">
      <c r="A38" s="5"/>
      <c r="B38" s="5"/>
      <c r="C38" s="93"/>
      <c r="D38" s="72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19"/>
    </row>
    <row r="39" spans="1:24" ht="24.9" customHeight="1" x14ac:dyDescent="0.3">
      <c r="A39" s="5"/>
      <c r="B39" s="5"/>
      <c r="C39" s="93"/>
      <c r="D39" s="72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73" t="s">
        <v>17</v>
      </c>
      <c r="S39" s="74"/>
      <c r="T39" s="5"/>
      <c r="U39" s="5"/>
      <c r="V39" s="32">
        <f>P37-V37</f>
        <v>-3984997.4200000004</v>
      </c>
      <c r="W39" s="5"/>
      <c r="X39" s="19"/>
    </row>
    <row r="40" spans="1:24" ht="24.9" customHeight="1" thickBot="1" x14ac:dyDescent="0.35">
      <c r="A40" s="7"/>
      <c r="B40" s="7"/>
      <c r="C40" s="91"/>
      <c r="D40" s="70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47"/>
    </row>
    <row r="42" spans="1:24" ht="24.9" customHeight="1" x14ac:dyDescent="0.3">
      <c r="L42" s="41">
        <f>K37+L37+M37</f>
        <v>495308.55000000005</v>
      </c>
      <c r="N42" s="41"/>
      <c r="P42" s="41">
        <f>P37-N37+N23</f>
        <v>3371150.2199999993</v>
      </c>
    </row>
    <row r="44" spans="1:24" ht="24.9" customHeight="1" x14ac:dyDescent="0.3">
      <c r="M44" s="41">
        <f>N37-P30-P34-P27-P24-P20-P17-P14-P13-P12</f>
        <v>51989.94</v>
      </c>
    </row>
    <row r="48" spans="1:24" ht="24.9" customHeight="1" x14ac:dyDescent="0.3">
      <c r="N48" s="41"/>
    </row>
  </sheetData>
  <mergeCells count="2">
    <mergeCell ref="R39:S39"/>
    <mergeCell ref="R37:S37"/>
  </mergeCells>
  <pageMargins left="0.7" right="0.7" top="0.75" bottom="0.75" header="0.3" footer="0.3"/>
  <pageSetup scale="2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Civil</vt:lpstr>
      <vt:lpstr>Sheet1</vt:lpstr>
      <vt:lpstr>Sheet3</vt:lpstr>
      <vt:lpstr>EMI</vt:lpstr>
      <vt:lpstr>Civil (2)</vt:lpstr>
      <vt:lpstr>'Civil (2)'!Print_Area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2025-02-25T10:05:53Z</cp:lastPrinted>
  <dcterms:created xsi:type="dcterms:W3CDTF">2022-06-10T14:11:52Z</dcterms:created>
  <dcterms:modified xsi:type="dcterms:W3CDTF">2025-05-28T09:46:05Z</dcterms:modified>
</cp:coreProperties>
</file>