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0045217B-DD9D-4FC8-B60D-3037B8282AE4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9" i="1" l="1"/>
  <c r="M49" i="1" s="1"/>
  <c r="K49" i="1" l="1"/>
  <c r="L49" i="1"/>
  <c r="N49" i="1"/>
  <c r="I49" i="1"/>
  <c r="O49" i="1" l="1"/>
  <c r="F50" i="1" s="1"/>
  <c r="Q50" i="1" s="1"/>
  <c r="J49" i="1"/>
  <c r="Q49" i="1" l="1"/>
  <c r="U51" i="1"/>
  <c r="V51" i="1" s="1"/>
  <c r="P86" i="1" l="1"/>
  <c r="L96" i="1" s="1"/>
  <c r="H79" i="1"/>
  <c r="M79" i="1" s="1"/>
  <c r="I79" i="1" l="1"/>
  <c r="J79" i="1" s="1"/>
  <c r="K79" i="1"/>
  <c r="N79" i="1"/>
  <c r="L79" i="1"/>
  <c r="O79" i="1"/>
  <c r="F80" i="1" s="1"/>
  <c r="Q80" i="1" s="1"/>
  <c r="U71" i="1"/>
  <c r="V71" i="1" s="1"/>
  <c r="Q79" i="1" l="1"/>
  <c r="X79" i="1" s="1"/>
  <c r="V70" i="1"/>
  <c r="H47" i="1" l="1"/>
  <c r="V41" i="1"/>
  <c r="V42" i="1"/>
  <c r="V50" i="1"/>
  <c r="V49" i="1"/>
  <c r="U48" i="1"/>
  <c r="V48" i="1" s="1"/>
  <c r="V47" i="1"/>
  <c r="V46" i="1"/>
  <c r="K57" i="1"/>
  <c r="L57" i="1"/>
  <c r="N57" i="1"/>
  <c r="O57" i="1"/>
  <c r="L56" i="1"/>
  <c r="N56" i="1"/>
  <c r="K56" i="1"/>
  <c r="O56" i="1"/>
  <c r="K61" i="1"/>
  <c r="L61" i="1"/>
  <c r="M61" i="1"/>
  <c r="N61" i="1"/>
  <c r="H60" i="1"/>
  <c r="I60" i="1" s="1"/>
  <c r="J60" i="1" s="1"/>
  <c r="I61" i="1"/>
  <c r="J61" i="1" s="1"/>
  <c r="U56" i="1"/>
  <c r="U57" i="1"/>
  <c r="U58" i="1"/>
  <c r="U59" i="1"/>
  <c r="U60" i="1"/>
  <c r="U68" i="1"/>
  <c r="V68" i="1" s="1"/>
  <c r="V69" i="1"/>
  <c r="U66" i="1"/>
  <c r="V66" i="1" s="1"/>
  <c r="U67" i="1"/>
  <c r="V67" i="1" s="1"/>
  <c r="U65" i="1"/>
  <c r="V28" i="1"/>
  <c r="U45" i="1"/>
  <c r="H18" i="1"/>
  <c r="V33" i="1"/>
  <c r="V34" i="1"/>
  <c r="V35" i="1"/>
  <c r="V36" i="1"/>
  <c r="V37" i="1"/>
  <c r="V38" i="1"/>
  <c r="V39" i="1"/>
  <c r="V40" i="1"/>
  <c r="V43" i="1"/>
  <c r="V44" i="1"/>
  <c r="V32" i="1"/>
  <c r="V11" i="1"/>
  <c r="V12" i="1"/>
  <c r="V13" i="1"/>
  <c r="V15" i="1"/>
  <c r="V16" i="1"/>
  <c r="V19" i="1"/>
  <c r="V21" i="1"/>
  <c r="V22" i="1"/>
  <c r="V23" i="1"/>
  <c r="V24" i="1"/>
  <c r="V26" i="1"/>
  <c r="V27" i="1"/>
  <c r="U25" i="1"/>
  <c r="V25" i="1" s="1"/>
  <c r="L47" i="1" l="1"/>
  <c r="I47" i="1"/>
  <c r="O47" i="1" s="1"/>
  <c r="F48" i="1" s="1"/>
  <c r="Q48" i="1" s="1"/>
  <c r="Q61" i="1"/>
  <c r="M47" i="1"/>
  <c r="N47" i="1"/>
  <c r="K47" i="1"/>
  <c r="K60" i="1"/>
  <c r="O60" i="1"/>
  <c r="F62" i="1" s="1"/>
  <c r="Q62" i="1" s="1"/>
  <c r="M60" i="1"/>
  <c r="L60" i="1"/>
  <c r="O61" i="1"/>
  <c r="F63" i="1" s="1"/>
  <c r="Q63" i="1" s="1"/>
  <c r="N60" i="1"/>
  <c r="Q57" i="1"/>
  <c r="Q56" i="1"/>
  <c r="L18" i="1"/>
  <c r="I18" i="1"/>
  <c r="J18" i="1" s="1"/>
  <c r="M18" i="1"/>
  <c r="O18" i="1"/>
  <c r="F23" i="1" s="1"/>
  <c r="Q23" i="1" s="1"/>
  <c r="K18" i="1"/>
  <c r="H43" i="1"/>
  <c r="N43" i="1" s="1"/>
  <c r="V45" i="1"/>
  <c r="Q60" i="1" l="1"/>
  <c r="J47" i="1"/>
  <c r="Q47" i="1" s="1"/>
  <c r="Q18" i="1"/>
  <c r="I43" i="1"/>
  <c r="O43" i="1" s="1"/>
  <c r="F46" i="1" s="1"/>
  <c r="Q46" i="1" s="1"/>
  <c r="K43" i="1"/>
  <c r="L43" i="1"/>
  <c r="M43" i="1"/>
  <c r="H42" i="1"/>
  <c r="M42" i="1" s="1"/>
  <c r="H17" i="1"/>
  <c r="I17" i="1" s="1"/>
  <c r="O17" i="1" s="1"/>
  <c r="F22" i="1" s="1"/>
  <c r="Q22" i="1" s="1"/>
  <c r="J43" i="1" l="1"/>
  <c r="Q43" i="1" s="1"/>
  <c r="L42" i="1"/>
  <c r="N42" i="1"/>
  <c r="I42" i="1"/>
  <c r="O42" i="1" s="1"/>
  <c r="K42" i="1"/>
  <c r="N17" i="1"/>
  <c r="L17" i="1"/>
  <c r="J17" i="1"/>
  <c r="M17" i="1"/>
  <c r="K17" i="1"/>
  <c r="U20" i="1"/>
  <c r="V20" i="1" s="1"/>
  <c r="H16" i="1"/>
  <c r="K16" i="1" s="1"/>
  <c r="V62" i="1"/>
  <c r="V63" i="1"/>
  <c r="V64" i="1"/>
  <c r="V65" i="1"/>
  <c r="V57" i="1"/>
  <c r="V58" i="1"/>
  <c r="V59" i="1"/>
  <c r="V60" i="1"/>
  <c r="V61" i="1"/>
  <c r="V56" i="1"/>
  <c r="H41" i="1"/>
  <c r="N41" i="1" s="1"/>
  <c r="U18" i="1"/>
  <c r="V18" i="1" s="1"/>
  <c r="U17" i="1"/>
  <c r="V17" i="1" s="1"/>
  <c r="H15" i="1"/>
  <c r="X56" i="1" l="1"/>
  <c r="N16" i="1"/>
  <c r="M16" i="1"/>
  <c r="J42" i="1"/>
  <c r="Q42" i="1" s="1"/>
  <c r="Q17" i="1"/>
  <c r="L16" i="1"/>
  <c r="I16" i="1"/>
  <c r="O16" i="1" s="1"/>
  <c r="F21" i="1" s="1"/>
  <c r="Q21" i="1" s="1"/>
  <c r="I41" i="1"/>
  <c r="O41" i="1" s="1"/>
  <c r="F45" i="1" s="1"/>
  <c r="Q45" i="1" s="1"/>
  <c r="K41" i="1"/>
  <c r="L41" i="1"/>
  <c r="M41" i="1"/>
  <c r="I15" i="1"/>
  <c r="O15" i="1" s="1"/>
  <c r="F20" i="1" s="1"/>
  <c r="Q20" i="1" s="1"/>
  <c r="K15" i="1"/>
  <c r="L15" i="1"/>
  <c r="H40" i="1"/>
  <c r="M40" i="1" s="1"/>
  <c r="J15" i="1" l="1"/>
  <c r="Q15" i="1" s="1"/>
  <c r="J41" i="1"/>
  <c r="Q41" i="1" s="1"/>
  <c r="J16" i="1"/>
  <c r="Q16" i="1" s="1"/>
  <c r="I40" i="1"/>
  <c r="O40" i="1" s="1"/>
  <c r="F44" i="1" s="1"/>
  <c r="Q44" i="1" s="1"/>
  <c r="K40" i="1"/>
  <c r="L40" i="1"/>
  <c r="N40" i="1"/>
  <c r="O112" i="1"/>
  <c r="H14" i="1"/>
  <c r="M14" i="1" s="1"/>
  <c r="M110" i="1"/>
  <c r="O110" i="1" s="1"/>
  <c r="M109" i="1"/>
  <c r="O109" i="1" s="1"/>
  <c r="M108" i="1"/>
  <c r="O108" i="1" s="1"/>
  <c r="F114" i="1"/>
  <c r="O13" i="1"/>
  <c r="H13" i="1"/>
  <c r="U14" i="1"/>
  <c r="V14" i="1" s="1"/>
  <c r="Q12" i="1"/>
  <c r="Q11" i="1"/>
  <c r="O111" i="1" l="1"/>
  <c r="O113" i="1" s="1"/>
  <c r="I14" i="1"/>
  <c r="O14" i="1" s="1"/>
  <c r="F19" i="1" s="1"/>
  <c r="Q19" i="1" s="1"/>
  <c r="N14" i="1"/>
  <c r="J40" i="1"/>
  <c r="Q40" i="1" s="1"/>
  <c r="X32" i="1" s="1"/>
  <c r="K14" i="1"/>
  <c r="L14" i="1"/>
  <c r="J13" i="1"/>
  <c r="Q13" i="1" s="1"/>
  <c r="H10" i="1"/>
  <c r="L10" i="1" s="1"/>
  <c r="J14" i="1" l="1"/>
  <c r="Q14" i="1" s="1"/>
  <c r="M10" i="1"/>
  <c r="I10" i="1"/>
  <c r="O10" i="1" s="1"/>
  <c r="K10" i="1"/>
  <c r="N10" i="1"/>
  <c r="U10" i="1"/>
  <c r="V10" i="1" s="1"/>
  <c r="U9" i="1"/>
  <c r="V9" i="1" s="1"/>
  <c r="U8" i="1"/>
  <c r="H9" i="1"/>
  <c r="K9" i="1" s="1"/>
  <c r="J10" i="1" l="1"/>
  <c r="Q10" i="1" s="1"/>
  <c r="I9" i="1"/>
  <c r="O9" i="1" s="1"/>
  <c r="L9" i="1"/>
  <c r="M9" i="1"/>
  <c r="N9" i="1"/>
  <c r="J9" i="1" l="1"/>
  <c r="Q9" i="1" s="1"/>
  <c r="V8" i="1"/>
  <c r="H8" i="1" l="1"/>
  <c r="K8" i="1" s="1"/>
  <c r="I8" i="1" l="1"/>
  <c r="M8" i="1"/>
  <c r="M86" i="1" s="1"/>
  <c r="L8" i="1"/>
  <c r="L86" i="1" s="1"/>
  <c r="N8" i="1"/>
  <c r="N86" i="1" s="1"/>
  <c r="L94" i="1" l="1"/>
  <c r="V86" i="1"/>
  <c r="O8" i="1" l="1"/>
  <c r="O86" i="1" s="1"/>
  <c r="J8" i="1"/>
  <c r="Q8" i="1" l="1"/>
  <c r="Q86" i="1" l="1"/>
  <c r="V88" i="1" s="1"/>
  <c r="L95" i="1" s="1"/>
  <c r="X8" i="1"/>
  <c r="X86" i="1" s="1"/>
</calcChain>
</file>

<file path=xl/sharedStrings.xml><?xml version="1.0" encoding="utf-8"?>
<sst xmlns="http://schemas.openxmlformats.org/spreadsheetml/2006/main" count="232" uniqueCount="189">
  <si>
    <t>Amount</t>
  </si>
  <si>
    <t>PAYMENT NOTE No.</t>
  </si>
  <si>
    <t>UTR</t>
  </si>
  <si>
    <t>TDS Amount @ 1% on BASIC AMOUNT</t>
  </si>
  <si>
    <t xml:space="preserve">Debit </t>
  </si>
  <si>
    <t>Pipeline Laying work</t>
  </si>
  <si>
    <t>Total Paid Amount Rs. -</t>
  </si>
  <si>
    <t>Balance Payable Amount Rs. -</t>
  </si>
  <si>
    <t>Hold Amount For Quantity excess against DPR</t>
  </si>
  <si>
    <t>Shri Balaji Construction</t>
  </si>
  <si>
    <t>Dulakheri Village Pipeline laying work</t>
  </si>
  <si>
    <t>27-03-2023 IFT/IFT23086029340/RIUP22/2742/SHRI BALAJI CONSTR 79200.00</t>
  </si>
  <si>
    <t>11-04-2023 IFT/IFT23101022094/SPUP23/0067/SHRI BALAJI CONSTR 19800.00</t>
  </si>
  <si>
    <t>21-04-2023 IFT/IFT23111033830/RIUP23/049/SHRI BALAJI CONSTRU 148500.00</t>
  </si>
  <si>
    <t>RIUP22/2742</t>
  </si>
  <si>
    <t>SPUP23/0067</t>
  </si>
  <si>
    <t>RIUP23/049</t>
  </si>
  <si>
    <t>06-05-2023 IFT/IFT23126013874/SPUP23/0358/SHRI BALAJI CONSTR 143678.00</t>
  </si>
  <si>
    <t>SPUP23/0358</t>
  </si>
  <si>
    <t>GST Release Note</t>
  </si>
  <si>
    <t>13-06-2023 IFT/IFT23164032243/RIUP23/631/SHRI BALAJI CONSTRU 99000.00</t>
  </si>
  <si>
    <t>RIUP23/631</t>
  </si>
  <si>
    <t>21-06-2023 IFT/IFT23172005911/RIUP23/738/SHRI BALAJI CONSTRU 70057.00</t>
  </si>
  <si>
    <t>RIUP23/738</t>
  </si>
  <si>
    <t>18-05-2023 IFT/IFT23138055169/RIUP23/274/SHRI BALAJI CONSTRU 25094.00</t>
  </si>
  <si>
    <t>RIUP23/274</t>
  </si>
  <si>
    <t>18-05-2023 IFT/IFT23138055168/RIUP23/275/SHRI BALAJI CONSTRU 277276.00</t>
  </si>
  <si>
    <t>RIUP23/275</t>
  </si>
  <si>
    <t>ITEM</t>
  </si>
  <si>
    <t>DPR</t>
  </si>
  <si>
    <t>Qty as per updated  Dawing</t>
  </si>
  <si>
    <t>Dia</t>
  </si>
  <si>
    <t>Length</t>
  </si>
  <si>
    <t>Total</t>
  </si>
  <si>
    <t>CUM</t>
  </si>
  <si>
    <t>EXCESS</t>
  </si>
  <si>
    <t>RATE</t>
  </si>
  <si>
    <t>AMT</t>
  </si>
  <si>
    <t>90MM</t>
  </si>
  <si>
    <t>j HOOK</t>
  </si>
  <si>
    <t>BOE</t>
  </si>
  <si>
    <t>As per updated drawing</t>
  </si>
  <si>
    <t>As per old DPR</t>
  </si>
  <si>
    <t>hold amt</t>
  </si>
  <si>
    <t>prev hold</t>
  </si>
  <si>
    <t>to be hold</t>
  </si>
  <si>
    <t>RIUP22/1475</t>
  </si>
  <si>
    <t>10-12-2022 IFT/IFT22344008545/RIUP22/1475/SHRI BALAJI CONSTR 245979.00</t>
  </si>
  <si>
    <t>RIUP22/1803</t>
  </si>
  <si>
    <t>07-01-2023 IFT/IFT23007044361/RIUP22/1803/SHRI BALAJI CONSTR 584658.00</t>
  </si>
  <si>
    <t>RIUP22/1978</t>
  </si>
  <si>
    <t>24-01-2023 IFT/IFT23024007687/RIUP22/1978/SHRIBALAJI CONSTR 64392.00</t>
  </si>
  <si>
    <t>RIUP22/2084</t>
  </si>
  <si>
    <t>04-02-2023 IFT/IFT23035022862/RIUP22/2084/SHRI BALAJI CONSTR ₹ 3,63,926.00</t>
  </si>
  <si>
    <t>RIUP22/2214</t>
  </si>
  <si>
    <t>17-02-2023 IFT/IFT23048032050/RIUP22/2214/SHRI BALAJI CONSTR 99000.00</t>
  </si>
  <si>
    <t>RIUP22/2641</t>
  </si>
  <si>
    <t>17-03-2023 IFT/IFT23076014164/RIUP22/2641/SHRI BALAJI CONSTR 247500.00</t>
  </si>
  <si>
    <t>RIUP22/2748</t>
  </si>
  <si>
    <t>27-03-2023 IFT/IFT23086032017/RIUP22/2748/SHRI BALAJI CONSTR 99000.00</t>
  </si>
  <si>
    <t>RIUP23/273</t>
  </si>
  <si>
    <t>19-05-2023 IFT/IFT23139017435/RIUP23/273/SHRI BALAJI CONSTRU ₹ 99,970.00</t>
  </si>
  <si>
    <t>Nojal Nojli Village Pipeline laying work</t>
  </si>
  <si>
    <t>GST release note</t>
  </si>
  <si>
    <t>Mantmanti Village Pipeline laying work</t>
  </si>
  <si>
    <t>RIUP22/412</t>
  </si>
  <si>
    <t>28-07-2022 IFT/IFT22209020738/RIUP22/412/SHRI BALAJI CONSTRU 198000.00</t>
  </si>
  <si>
    <t>RIUP22/554</t>
  </si>
  <si>
    <t>20-08-2022 IFT/IFT22232005689/RIUP22/554/SHRI BALAJI CONSTRU 198000.00</t>
  </si>
  <si>
    <t>RIUP22/586</t>
  </si>
  <si>
    <t>22-08-2022 IFT/IFT22234028107/RIUP22/586/SHRI BALAJI CONSTRU 148500.00</t>
  </si>
  <si>
    <t>RIUP22/884</t>
  </si>
  <si>
    <t>03-10-2022 IFT/IFT22276009534/RIUP22/884/SHRI BALAJI CONSTRU 594000.00</t>
  </si>
  <si>
    <t>RIUP22/1078</t>
  </si>
  <si>
    <t>21-10-2022 IFT/IFT22294059834/RIUP22/1078/SHRI BALAJI CONSTR 297000.00</t>
  </si>
  <si>
    <t>RIUP22/1181</t>
  </si>
  <si>
    <t>05-11-2022 IFT/IFT22309031468/RIUP22/1181/SHRI BALAJI CONSTR 54565.00</t>
  </si>
  <si>
    <t>RIUP22/1482</t>
  </si>
  <si>
    <t>10-12-2022 IFT/IFT22344008547/RIUP22/1482/SHRI BALAJI CONSTR 200000.00</t>
  </si>
  <si>
    <t>RIUP22/1632</t>
  </si>
  <si>
    <t>27-12-2022 IFT/IFT22361012953/RIUP22/1632/SHRI BALAJI CONSTR 369545.00</t>
  </si>
  <si>
    <t>RIUP22/1977</t>
  </si>
  <si>
    <t>24-01-2023 IFT/IFT23024012629/RIUP22/1977/SHRI BALAJI CONSTR ₹ 41,724.00</t>
  </si>
  <si>
    <t>RIUP22/2361</t>
  </si>
  <si>
    <t>28-02-2023 IFT/IFT23059053147/RIUP22/2361/SHRI BALAJI CONSTR 49500.00</t>
  </si>
  <si>
    <t>25-08-2023 IFT/IFT23237043051/RIUP23/1717/SHRI BALAJI CONSTR 49500.00</t>
  </si>
  <si>
    <t>RIUP23/1717</t>
  </si>
  <si>
    <t>01-07-2023 IFT/IFT23182088929/RIUP23/990/SHRI BALAJI CONSTRU ₹ 3,74,156.00</t>
  </si>
  <si>
    <t>RIUP23/990</t>
  </si>
  <si>
    <t>04-08-2023 IFT/IFT23216118401/RIUP23/1379/SHRI BALAJI CONSTR ₹ 99,000.00</t>
  </si>
  <si>
    <t>28-08-2023 IFT/IFT23240055694/RIUP23/1751/SHRI BALAJI CONSTR 148500.00</t>
  </si>
  <si>
    <t>07-09-2023 IFT/IFT23250068458/RIUP23/1898/SHRI BALAJI CONSTR 63645.00</t>
  </si>
  <si>
    <t>RIUP23/1379</t>
  </si>
  <si>
    <t>RIUP23/1751</t>
  </si>
  <si>
    <t>RIUP23/1898</t>
  </si>
  <si>
    <t>2023 April 10 --- Shri Balaji Constructions --- Rs. 2,56,274 ----- /IFT23100051022</t>
  </si>
  <si>
    <t>22-09-2023 IFT/IFT23265052077/RIUP23/2217/SHRI BALAJI CONSTR 148500.00</t>
  </si>
  <si>
    <t>RIUP23/2217</t>
  </si>
  <si>
    <t>18-09-2023 IFT/IFT23261006068/RIUP23/2080/SHRI BALAJI CONSTR 187599.00</t>
  </si>
  <si>
    <t>RIUP23/2080</t>
  </si>
  <si>
    <t>RIUP23/2466</t>
  </si>
  <si>
    <t>04-10-2023 IFT/IFT23277053670/RIUP23/2466/SHRI BALAJI CONSTR 129832.00</t>
  </si>
  <si>
    <t>25-10-2023 IFT/IFT23298013281/RIUP23/2854/SHRI BALAJI CONSTR 148500.00</t>
  </si>
  <si>
    <t>RIUP23/2854</t>
  </si>
  <si>
    <t>04-10-2023 IFT/IFT23277053668/RIUP23/2473/SHRI BALAJI CONSTR 149947.00</t>
  </si>
  <si>
    <t>04-10-2023 IFT/IFT23277053669/RIUP23/2474/SHRI BALAJI CONSTR 201737.00</t>
  </si>
  <si>
    <t>RIUP23/2473</t>
  </si>
  <si>
    <t>RIUP23/2474</t>
  </si>
  <si>
    <t>08-08-2023 IFT/IFT23220049166/RIUP23/1404/SHRI BALAJI CONSTR 220197.00</t>
  </si>
  <si>
    <t>23-10-2023 IFT/IFT23296024452/RIUP23/2830/SHRI BALAJI CONSTR 148500.00</t>
  </si>
  <si>
    <t>14-09-2023 IFT/IFT23257021729/RIUP23/2016/SHRI BALAJI CONSTR 118800.00</t>
  </si>
  <si>
    <t>RIUP23/2830</t>
  </si>
  <si>
    <t>RIUP23/2016</t>
  </si>
  <si>
    <t>08-11-2023 IFT/IFT23312076789/RIUP23/3137/SHRI BALAJI CONSTR 99000.00</t>
  </si>
  <si>
    <t>RIUP23/3137</t>
  </si>
  <si>
    <t>08-11-2023 IFT/IFT23312068902/RIUP23/2938/SHRI BALAJI CONSTR 69602.00</t>
  </si>
  <si>
    <t>23-11-2023 IFT/IFT23327021226/RIUP23/3364/SHRI BALAJI CONSTR ₹ 1,77,970.00</t>
  </si>
  <si>
    <t>22-12-2023 IFT/IFT23356037807/RIUP23/3923/SHRI BALAJI CONSTR 79200.00</t>
  </si>
  <si>
    <t xml:space="preserve">27-12-2023 IFT/IFT23361009770/RIUP23/3956/SHRI BALAJI CONSTR 49071.00
</t>
  </si>
  <si>
    <t>27-12-2023 IFT/IFT23361009776/RIUP23/3957/SHRI BALAJI CONSTR 142307.00</t>
  </si>
  <si>
    <t>RIUP23/2938</t>
  </si>
  <si>
    <t>RIUP23/3364</t>
  </si>
  <si>
    <t>RIUP23/3923</t>
  </si>
  <si>
    <t>RIUP23/3956</t>
  </si>
  <si>
    <t>RIUP23/3957</t>
  </si>
  <si>
    <t>08-11-2023 IFT/IFT23312068903/RIUP23/3011/SHRI BALAJI CONSTR 319514.00</t>
  </si>
  <si>
    <t>24-11-2023 IFT/IFT23328055355/RIUP23/3365/SHRI BALAJI CONSTR 61956.00</t>
  </si>
  <si>
    <t>15-12-2023 IFT/IFT23349026038/RIUP23/3768/SHRI BALAJI CONSTR 148500.00</t>
  </si>
  <si>
    <t>27-12-2023 IFT/IFT23361009769/RIUP23/3775/SHRI BALAJI CONSTR 89254.00</t>
  </si>
  <si>
    <t>RIUP23/1404</t>
  </si>
  <si>
    <t>RIUP23/3011</t>
  </si>
  <si>
    <t>RIUP23/3768</t>
  </si>
  <si>
    <t>RIUP23/3365</t>
  </si>
  <si>
    <t>RIUP23/3775</t>
  </si>
  <si>
    <t>08-01-2024 IFT/IFT24008065306/RIUP23/4037/SHRI BALAJI CONSTR ₹ 72,595.00</t>
  </si>
  <si>
    <t>RIUP23/4037</t>
  </si>
  <si>
    <t>08-01-2024 IFT/IFT24008065305/RIUP23/3955/SHRI BALAJI CONSTR ₹ 48,615.00</t>
  </si>
  <si>
    <t>07-12-2023 IFT/IFT23341087153/RIUP23/3641/SHRI BALAJI CONSTR 17873.00</t>
  </si>
  <si>
    <t>RIUP23/3641</t>
  </si>
  <si>
    <t>RIUP23/3955</t>
  </si>
  <si>
    <t xml:space="preserve">Hold Amount </t>
  </si>
  <si>
    <t>Advance / Surplus</t>
  </si>
  <si>
    <t>18-01-2024 IFT/IFT24018032119/RIUP23/4367/SHRI BALAJI CONSTR 99000.00</t>
  </si>
  <si>
    <t>RIUP23/4367</t>
  </si>
  <si>
    <t>22-03-2024 IFT/IFT24082070375/RIUP23/5132/SHRI BALAJI CONSTR 120803.00</t>
  </si>
  <si>
    <t>RIUP23/5132</t>
  </si>
  <si>
    <t>22-02-2024 IFT/IFT24053032838/RIUP23/4815/SHRI BALAJI CONSTR 79200.00</t>
  </si>
  <si>
    <t>RIUP23/4815</t>
  </si>
  <si>
    <t>GST Remaining</t>
  </si>
  <si>
    <t>26-04-2024 IFT/IFT24117006560/RIUP23/5134/SHRI BALAJI CONSTR 53880.00</t>
  </si>
  <si>
    <t>26-04-2024 IFT/IFT24117006559/RIUP23/5133/SHRI BALAJI CONSTR 56882.00 682517655.06 CBB</t>
  </si>
  <si>
    <t>17-05-2024 IFT/IFT24138018957/RIUP24/0143/SHRI BALAJI CONSTR 183737.00</t>
  </si>
  <si>
    <t>10-09-2024 IFT/IFT24254007340/RIUP24/1727/SHRI BALAJI CONSTR 99000.00</t>
  </si>
  <si>
    <t>Advance Village Wise</t>
  </si>
  <si>
    <t>17-09-2024 IFT/IFT24261027201/RIUP24/1806/SHRI BALAJI CONSTR 74250.00</t>
  </si>
  <si>
    <t>21-09-2024 IFT/IFT24265015454/RIUP24/1895/SHRI BALAJI CONSTR 74250.00</t>
  </si>
  <si>
    <t>RIUP23/5134</t>
  </si>
  <si>
    <t>01-10-2024 IFT/IFT24275137125/RIUP24/2011/SHRI BALAJI CONSTR 99000.00</t>
  </si>
  <si>
    <t>05-10-2024 IFT/IFT24279099632/RIUP24/2126/SHRI BALAJI CONSTR 247500.00</t>
  </si>
  <si>
    <t>RIUP24/2126</t>
  </si>
  <si>
    <t>21-10-2024 IFT/IFT24295027658/RIUP24/2257/SHRI BALAJI CONSTR 247500.00</t>
  </si>
  <si>
    <t>30-10-2024 IFT/IFT24304255883/RIUP24/2364/SHRI BALAJI CONSTR 198000.00</t>
  </si>
  <si>
    <t>30-10-2024 IFT/IFT24304255885/RIUP24/2365/SHRI BALAJI CONSTR 198000.00</t>
  </si>
  <si>
    <t>04-12-2024 IFT/IFT24339039524/RIUP24/2627/SHRI BALAJI CONSTR 198000.00</t>
  </si>
  <si>
    <t>Nil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</si>
  <si>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</si>
  <si>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</si>
  <si>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</si>
  <si>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</si>
  <si>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</si>
  <si>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</si>
  <si>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</si>
  <si>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</si>
  <si>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</si>
  <si>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</si>
  <si>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</si>
  <si>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</si>
  <si>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</si>
  <si>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</si>
  <si>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</si>
  <si>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</si>
  <si>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</si>
  <si>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</si>
  <si>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</si>
  <si>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</si>
  <si>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</si>
  <si>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Bhatu  village pipeline work</t>
  </si>
  <si>
    <t>Shri Balaji Construction shamli</t>
  </si>
  <si>
    <t>bill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</si>
</sst>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omic Sans MS"/>
      <family val="4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9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5" fontId="7" fillId="2" borderId="4" xfId="0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vertical="center"/>
    </xf>
    <xf numFmtId="15" fontId="3" fillId="2" borderId="4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164" fontId="0" fillId="2" borderId="3" xfId="1" applyNumberFormat="1" applyFont="1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164" fontId="11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164" fontId="3" fillId="2" borderId="10" xfId="1" applyNumberFormat="1" applyFont="1" applyFill="1" applyBorder="1" applyAlignment="1">
      <alignment vertical="center"/>
    </xf>
    <xf numFmtId="164" fontId="7" fillId="2" borderId="10" xfId="1" applyNumberFormat="1" applyFont="1" applyFill="1" applyBorder="1" applyAlignment="1">
      <alignment vertical="center"/>
    </xf>
    <xf numFmtId="0" fontId="8" fillId="4" borderId="4" xfId="0" applyFont="1" applyFill="1" applyBorder="1" applyAlignment="1">
      <alignment horizontal="center" vertical="center" wrapText="1"/>
    </xf>
    <xf numFmtId="164" fontId="7" fillId="3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0" fillId="2" borderId="4" xfId="0" applyFill="1" applyBorder="1" applyAlignment="1">
      <alignment vertical="center"/>
    </xf>
    <xf numFmtId="0" fontId="12" fillId="0" borderId="4" xfId="0" applyFont="1" applyBorder="1"/>
    <xf numFmtId="15" fontId="3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15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64" fontId="8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7" fillId="2" borderId="8" xfId="1" applyNumberFormat="1" applyFont="1" applyFill="1" applyBorder="1" applyAlignment="1">
      <alignment vertical="center"/>
    </xf>
    <xf numFmtId="9" fontId="7" fillId="2" borderId="8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8" fillId="4" borderId="10" xfId="0" applyFont="1" applyFill="1" applyBorder="1" applyAlignment="1">
      <alignment horizontal="center" vertical="center" wrapText="1"/>
    </xf>
    <xf numFmtId="164" fontId="7" fillId="3" borderId="10" xfId="1" applyNumberFormat="1" applyFont="1" applyFill="1" applyBorder="1" applyAlignment="1">
      <alignment vertical="center"/>
    </xf>
    <xf numFmtId="9" fontId="7" fillId="3" borderId="10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164" fontId="16" fillId="5" borderId="4" xfId="1" applyNumberFormat="1" applyFont="1" applyFill="1" applyBorder="1" applyAlignment="1">
      <alignment vertical="center"/>
    </xf>
    <xf numFmtId="0" fontId="17" fillId="2" borderId="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43" fontId="18" fillId="2" borderId="10" xfId="1" applyFont="1" applyFill="1" applyBorder="1" applyAlignment="1">
      <alignment horizontal="center" vertical="center"/>
    </xf>
    <xf numFmtId="43" fontId="6" fillId="2" borderId="10" xfId="1" applyFont="1" applyFill="1" applyBorder="1" applyAlignment="1">
      <alignment horizontal="center" vertical="center"/>
    </xf>
    <xf numFmtId="0" fontId="6" fillId="0" borderId="0" xfId="0" applyFont="1"/>
    <xf numFmtId="164" fontId="19" fillId="2" borderId="1" xfId="2" applyFont="1" applyFill="1" applyBorder="1" applyAlignment="1">
      <alignment vertical="center"/>
    </xf>
    <xf numFmtId="164" fontId="19" fillId="2" borderId="2" xfId="2" applyFont="1" applyFill="1" applyBorder="1" applyAlignment="1">
      <alignment vertical="center"/>
    </xf>
    <xf numFmtId="0" fontId="20" fillId="2" borderId="2" xfId="0" applyFont="1" applyFill="1" applyBorder="1" applyAlignment="1">
      <alignment vertical="center"/>
    </xf>
    <xf numFmtId="164" fontId="15" fillId="2" borderId="11" xfId="1" applyNumberFormat="1" applyFont="1" applyFill="1" applyBorder="1" applyAlignment="1">
      <alignment horizontal="center" vertical="center"/>
    </xf>
    <xf numFmtId="164" fontId="15" fillId="2" borderId="12" xfId="1" applyNumberFormat="1" applyFont="1" applyFill="1" applyBorder="1" applyAlignment="1">
      <alignment horizontal="center" vertical="center"/>
    </xf>
    <xf numFmtId="164" fontId="15" fillId="2" borderId="13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9" fillId="2" borderId="6" xfId="0" applyFont="1" applyFill="1" applyBorder="1" applyAlignment="1">
      <alignment horizontal="right" vertical="center"/>
    </xf>
    <xf numFmtId="0" fontId="9" fillId="2" borderId="7" xfId="0" applyFont="1" applyFill="1" applyBorder="1" applyAlignment="1">
      <alignment horizontal="right" vertical="center"/>
    </xf>
    <xf numFmtId="14" fontId="14" fillId="2" borderId="11" xfId="1" applyNumberFormat="1" applyFont="1" applyFill="1" applyBorder="1" applyAlignment="1">
      <alignment horizontal="center" vertical="center"/>
    </xf>
    <xf numFmtId="164" fontId="14" fillId="2" borderId="12" xfId="1" applyNumberFormat="1" applyFont="1" applyFill="1" applyBorder="1" applyAlignment="1">
      <alignment horizontal="center" vertical="center"/>
    </xf>
    <xf numFmtId="164" fontId="14" fillId="2" borderId="13" xfId="1" applyNumberFormat="1" applyFont="1" applyFill="1" applyBorder="1" applyAlignment="1">
      <alignment horizontal="center" vertical="center"/>
    </xf>
    <xf numFmtId="164" fontId="14" fillId="2" borderId="14" xfId="1" applyNumberFormat="1" applyFont="1" applyFill="1" applyBorder="1" applyAlignment="1">
      <alignment horizontal="center" vertical="center"/>
    </xf>
    <xf numFmtId="164" fontId="14" fillId="2" borderId="15" xfId="1" applyNumberFormat="1" applyFont="1" applyFill="1" applyBorder="1" applyAlignment="1">
      <alignment horizontal="center" vertical="center"/>
    </xf>
    <xf numFmtId="164" fontId="14" fillId="2" borderId="16" xfId="1" applyNumberFormat="1" applyFont="1" applyFill="1" applyBorder="1" applyAlignment="1">
      <alignment horizontal="center" vertical="center"/>
    </xf>
    <xf numFmtId="164" fontId="14" fillId="2" borderId="17" xfId="1" applyNumberFormat="1" applyFont="1" applyFill="1" applyBorder="1" applyAlignment="1">
      <alignment horizontal="center" vertical="center"/>
    </xf>
    <xf numFmtId="164" fontId="14" fillId="2" borderId="18" xfId="1" applyNumberFormat="1" applyFont="1" applyFill="1" applyBorder="1" applyAlignment="1">
      <alignment horizontal="center" vertical="center"/>
    </xf>
    <xf numFmtId="164" fontId="14" fillId="2" borderId="19" xfId="1" applyNumberFormat="1" applyFont="1" applyFill="1" applyBorder="1" applyAlignment="1">
      <alignment horizontal="center" vertical="center"/>
    </xf>
    <xf numFmtId="164" fontId="14" fillId="2" borderId="20" xfId="1" applyNumberFormat="1" applyFont="1" applyFill="1" applyBorder="1" applyAlignment="1">
      <alignment horizontal="center" vertical="center"/>
    </xf>
    <xf numFmtId="164" fontId="14" fillId="2" borderId="21" xfId="1" applyNumberFormat="1" applyFont="1" applyFill="1" applyBorder="1" applyAlignment="1">
      <alignment horizontal="center" vertical="center"/>
    </xf>
    <xf numFmtId="164" fontId="14" fillId="2" borderId="22" xfId="1" applyNumberFormat="1" applyFont="1" applyFill="1" applyBorder="1" applyAlignment="1">
      <alignment horizontal="center" vertical="center"/>
    </xf>
    <xf numFmtId="164" fontId="14" fillId="2" borderId="17" xfId="1" applyNumberFormat="1" applyFont="1" applyFill="1" applyBorder="1" applyAlignment="1">
      <alignment horizontal="center" vertical="center" wrapText="1"/>
    </xf>
    <xf numFmtId="164" fontId="14" fillId="2" borderId="19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F07A6D57-814E-4132-BB48-ABE446596D8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14"/>
  <sheetViews>
    <sheetView tabSelected="1" zoomScaleNormal="100" workbookViewId="0">
      <pane ySplit="5" topLeftCell="A6" activePane="bottomLeft" state="frozen"/>
      <selection pane="bottomLeft" activeCell="C3" sqref="C3"/>
    </sheetView>
  </sheetViews>
  <sheetFormatPr defaultColWidth="9" defaultRowHeight="24.9" customHeight="1" x14ac:dyDescent="0.3"/>
  <cols>
    <col min="1" max="1" width="9" style="2"/>
    <col min="2" max="2" width="31.44140625" style="2" customWidth="1"/>
    <col min="3" max="3" width="13.5546875" style="2" bestFit="1" customWidth="1"/>
    <col min="4" max="5" width="6.109375" style="2" customWidth="1"/>
    <col min="6" max="6" width="14.109375" style="2" bestFit="1" customWidth="1"/>
    <col min="7" max="7" width="13.33203125" style="2" customWidth="1"/>
    <col min="8" max="8" width="15.5546875" style="2" bestFit="1" customWidth="1"/>
    <col min="9" max="9" width="22" style="12" bestFit="1" customWidth="1"/>
    <col min="10" max="10" width="18.44140625" style="12" bestFit="1" customWidth="1"/>
    <col min="11" max="11" width="12.44140625" style="2" bestFit="1" customWidth="1"/>
    <col min="12" max="12" width="14.5546875" style="2" bestFit="1" customWidth="1"/>
    <col min="13" max="13" width="15" style="2" customWidth="1"/>
    <col min="14" max="14" width="16.5546875" style="2" customWidth="1"/>
    <col min="15" max="15" width="15.6640625" style="2" bestFit="1" customWidth="1"/>
    <col min="16" max="16" width="14.88671875" style="2" customWidth="1"/>
    <col min="17" max="17" width="16.109375" style="2" bestFit="1" customWidth="1"/>
    <col min="18" max="18" width="10.88671875" style="2" bestFit="1" customWidth="1"/>
    <col min="19" max="19" width="21.6640625" style="2" hidden="1" customWidth="1"/>
    <col min="20" max="20" width="13" style="2" hidden="1" customWidth="1"/>
    <col min="21" max="21" width="14.5546875" style="2" hidden="1" customWidth="1"/>
    <col min="22" max="22" width="18.88671875" style="2" bestFit="1" customWidth="1"/>
    <col min="23" max="23" width="84.88671875" style="2" bestFit="1" customWidth="1"/>
    <col min="24" max="24" width="18.88671875" style="2" bestFit="1" customWidth="1"/>
    <col min="25" max="16384" width="9" style="2"/>
  </cols>
  <sheetData>
    <row r="1" spans="1:58" ht="24.9" customHeight="1" thickBot="1" x14ac:dyDescent="0.35">
      <c r="A1" s="65" t="s">
        <v>180</v>
      </c>
      <c r="B1" s="5" t="s">
        <v>187</v>
      </c>
      <c r="F1" s="3"/>
      <c r="G1" s="3"/>
      <c r="H1" s="3"/>
      <c r="I1" s="4"/>
      <c r="J1" s="4"/>
    </row>
    <row r="2" spans="1:58" ht="24.9" customHeight="1" thickBot="1" x14ac:dyDescent="0.35">
      <c r="A2" s="65" t="s">
        <v>181</v>
      </c>
      <c r="B2" s="66" t="s">
        <v>182</v>
      </c>
      <c r="C2" s="5"/>
      <c r="D2" s="5"/>
      <c r="E2" s="5"/>
      <c r="I2" s="13" t="s">
        <v>5</v>
      </c>
      <c r="J2" s="6"/>
      <c r="K2" s="7"/>
      <c r="L2" s="7"/>
      <c r="M2" s="7"/>
      <c r="N2" s="7"/>
      <c r="O2" s="7"/>
      <c r="P2" s="7"/>
      <c r="Q2" s="7"/>
      <c r="R2" s="56">
        <v>45408</v>
      </c>
      <c r="S2" s="7"/>
      <c r="T2" s="7"/>
      <c r="U2" s="7"/>
    </row>
    <row r="3" spans="1:58" ht="24.9" customHeight="1" thickBot="1" x14ac:dyDescent="0.35">
      <c r="A3" s="65" t="s">
        <v>183</v>
      </c>
      <c r="B3" s="67" t="s">
        <v>184</v>
      </c>
      <c r="C3" s="5"/>
      <c r="D3" s="5"/>
      <c r="E3" s="5"/>
      <c r="I3" s="13"/>
      <c r="J3" s="6"/>
      <c r="K3" s="7"/>
      <c r="L3" s="7"/>
      <c r="M3" s="7"/>
      <c r="N3" s="7"/>
      <c r="O3" s="7"/>
      <c r="P3" s="7"/>
      <c r="Q3" s="7"/>
      <c r="R3" s="56"/>
      <c r="S3" s="7"/>
      <c r="T3" s="7"/>
      <c r="U3" s="7"/>
    </row>
    <row r="4" spans="1:58" ht="24.9" customHeight="1" thickBot="1" x14ac:dyDescent="0.35">
      <c r="A4" s="65" t="s">
        <v>185</v>
      </c>
      <c r="B4" s="68" t="s">
        <v>184</v>
      </c>
      <c r="C4" s="8"/>
      <c r="D4" s="8"/>
      <c r="E4" s="8"/>
      <c r="F4" s="8"/>
      <c r="G4" s="7"/>
      <c r="H4" s="7"/>
      <c r="I4" s="9"/>
      <c r="J4" s="9"/>
      <c r="K4" s="7"/>
      <c r="L4" s="7"/>
      <c r="M4" s="7"/>
      <c r="N4" s="7"/>
      <c r="S4" s="7"/>
      <c r="T4" s="10"/>
      <c r="U4" s="10"/>
      <c r="V4" s="10"/>
      <c r="W4" s="10"/>
      <c r="X4" s="10"/>
    </row>
    <row r="5" spans="1:58" ht="24.9" customHeight="1" thickBot="1" x14ac:dyDescent="0.35">
      <c r="A5" s="60" t="s">
        <v>168</v>
      </c>
      <c r="B5" s="59" t="s">
        <v>169</v>
      </c>
      <c r="C5" s="61" t="s">
        <v>170</v>
      </c>
      <c r="D5" s="62" t="s">
        <v>171</v>
      </c>
      <c r="E5" s="59" t="s">
        <v>188</v>
      </c>
      <c r="F5" s="59" t="s">
        <v>172</v>
      </c>
      <c r="G5" s="59" t="s">
        <v>173</v>
      </c>
      <c r="H5" s="62" t="s">
        <v>174</v>
      </c>
      <c r="I5" s="63" t="s">
        <v>175</v>
      </c>
      <c r="J5" s="64" t="s">
        <v>0</v>
      </c>
      <c r="K5" s="59" t="s">
        <v>176</v>
      </c>
      <c r="L5" s="59" t="s">
        <v>177</v>
      </c>
      <c r="M5" s="59" t="s">
        <v>178</v>
      </c>
      <c r="N5" s="59" t="s">
        <v>179</v>
      </c>
      <c r="O5" s="59" t="s">
        <v>167</v>
      </c>
      <c r="P5" s="28" t="s">
        <v>8</v>
      </c>
      <c r="Q5" s="59" t="s">
        <v>166</v>
      </c>
      <c r="R5" s="1"/>
      <c r="S5" s="27" t="s">
        <v>1</v>
      </c>
      <c r="T5" s="27" t="s">
        <v>0</v>
      </c>
      <c r="U5" s="27" t="s">
        <v>3</v>
      </c>
      <c r="V5" s="59" t="s">
        <v>165</v>
      </c>
      <c r="W5" s="59" t="s">
        <v>2</v>
      </c>
      <c r="X5" s="27" t="s">
        <v>153</v>
      </c>
    </row>
    <row r="6" spans="1:58" ht="24.9" customHeight="1" thickBot="1" x14ac:dyDescent="0.35">
      <c r="B6" s="47"/>
      <c r="C6" s="47"/>
      <c r="D6" s="47"/>
      <c r="E6" s="47"/>
      <c r="F6" s="47"/>
      <c r="G6" s="47"/>
      <c r="H6" s="47"/>
      <c r="I6" s="47"/>
      <c r="J6" s="47"/>
      <c r="K6" s="48">
        <v>0.01</v>
      </c>
      <c r="L6" s="48">
        <v>0.05</v>
      </c>
      <c r="M6" s="48">
        <v>0.1</v>
      </c>
      <c r="N6" s="48">
        <v>0.1</v>
      </c>
      <c r="O6" s="47"/>
      <c r="P6" s="47"/>
      <c r="Q6" s="47"/>
      <c r="R6" s="27"/>
      <c r="S6" s="49"/>
      <c r="T6" s="49"/>
      <c r="U6" s="50">
        <v>0.01</v>
      </c>
      <c r="V6" s="49"/>
      <c r="W6" s="49"/>
      <c r="X6" s="49"/>
    </row>
    <row r="7" spans="1:58" s="26" customFormat="1" ht="24.9" customHeight="1" x14ac:dyDescent="0.3">
      <c r="B7" s="51"/>
      <c r="C7" s="51"/>
      <c r="D7" s="51"/>
      <c r="E7" s="51"/>
      <c r="F7" s="51"/>
      <c r="G7" s="51"/>
      <c r="H7" s="51"/>
      <c r="I7" s="51"/>
      <c r="J7" s="51"/>
      <c r="K7" s="52"/>
      <c r="L7" s="52"/>
      <c r="M7" s="52"/>
      <c r="N7" s="52"/>
      <c r="O7" s="51"/>
      <c r="P7" s="51"/>
      <c r="Q7" s="51"/>
      <c r="R7" s="53">
        <v>55713</v>
      </c>
      <c r="S7" s="54"/>
      <c r="T7" s="54"/>
      <c r="U7" s="55"/>
      <c r="V7" s="54"/>
      <c r="W7" s="54"/>
      <c r="X7" s="54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</row>
    <row r="8" spans="1:58" ht="24.9" customHeight="1" x14ac:dyDescent="0.3">
      <c r="A8" s="2">
        <v>55713</v>
      </c>
      <c r="B8" s="33" t="s">
        <v>10</v>
      </c>
      <c r="C8" s="14">
        <v>45000</v>
      </c>
      <c r="D8" s="34">
        <v>8</v>
      </c>
      <c r="E8" s="34">
        <v>1</v>
      </c>
      <c r="F8" s="35">
        <v>139413.72</v>
      </c>
      <c r="G8" s="35">
        <v>0</v>
      </c>
      <c r="H8" s="35">
        <f>ROUND(F8-G8,)</f>
        <v>139414</v>
      </c>
      <c r="I8" s="35">
        <f>ROUND(H8*18%,)</f>
        <v>25095</v>
      </c>
      <c r="J8" s="35">
        <f>H8+I8</f>
        <v>164509</v>
      </c>
      <c r="K8" s="35">
        <f>ROUND(H8*$K$6,)</f>
        <v>1394</v>
      </c>
      <c r="L8" s="35">
        <f>ROUND(H8*5%,)</f>
        <v>6971</v>
      </c>
      <c r="M8" s="35">
        <f t="shared" ref="M8" si="0">ROUND(H8*10%,)</f>
        <v>13941</v>
      </c>
      <c r="N8" s="35">
        <f>ROUND(H8*10%,)</f>
        <v>13941</v>
      </c>
      <c r="O8" s="57">
        <f>I8</f>
        <v>25095</v>
      </c>
      <c r="P8" s="35">
        <v>0</v>
      </c>
      <c r="Q8" s="35">
        <f>ROUND(J8-SUM(K8:P8),)</f>
        <v>103167</v>
      </c>
      <c r="R8" s="36"/>
      <c r="S8" s="35" t="s">
        <v>14</v>
      </c>
      <c r="T8" s="35">
        <v>80000</v>
      </c>
      <c r="U8" s="35">
        <f>T8*U6</f>
        <v>800</v>
      </c>
      <c r="V8" s="35">
        <f t="shared" ref="V8:V27" si="1">T8-U8</f>
        <v>79200</v>
      </c>
      <c r="W8" s="37" t="s">
        <v>11</v>
      </c>
      <c r="X8" s="35">
        <f>SUM(Q7:Q30)-SUM(V7:V30)</f>
        <v>-69066.340000000317</v>
      </c>
    </row>
    <row r="9" spans="1:58" ht="24.9" customHeight="1" x14ac:dyDescent="0.3">
      <c r="A9" s="2">
        <v>55713</v>
      </c>
      <c r="B9" s="33" t="s">
        <v>10</v>
      </c>
      <c r="C9" s="14">
        <v>45017</v>
      </c>
      <c r="D9" s="34">
        <v>1</v>
      </c>
      <c r="E9" s="34">
        <v>2</v>
      </c>
      <c r="F9" s="35">
        <v>389203</v>
      </c>
      <c r="G9" s="35">
        <v>0</v>
      </c>
      <c r="H9" s="35">
        <f>ROUND(F9-G9,)</f>
        <v>389203</v>
      </c>
      <c r="I9" s="35">
        <f>ROUND(H9*18%,)</f>
        <v>70057</v>
      </c>
      <c r="J9" s="35">
        <f>H9+I9</f>
        <v>459260</v>
      </c>
      <c r="K9" s="35">
        <f>ROUND(H9*$K$6,)</f>
        <v>3892</v>
      </c>
      <c r="L9" s="35">
        <f>ROUND(H9*5%,)</f>
        <v>19460</v>
      </c>
      <c r="M9" s="35">
        <f t="shared" ref="M9" si="2">ROUND(H9*10%,)</f>
        <v>38920</v>
      </c>
      <c r="N9" s="35">
        <f>ROUND(H9*10%,)</f>
        <v>38920</v>
      </c>
      <c r="O9" s="57">
        <f>I9</f>
        <v>70057</v>
      </c>
      <c r="P9" s="35">
        <v>0</v>
      </c>
      <c r="Q9" s="35">
        <f>ROUND(J9-SUM(K9:P9),)</f>
        <v>288011</v>
      </c>
      <c r="R9" s="36"/>
      <c r="S9" s="35" t="s">
        <v>15</v>
      </c>
      <c r="T9" s="35">
        <v>20000</v>
      </c>
      <c r="U9" s="35">
        <f>T9*U6</f>
        <v>200</v>
      </c>
      <c r="V9" s="35">
        <f t="shared" si="1"/>
        <v>19800</v>
      </c>
      <c r="W9" s="37" t="s">
        <v>12</v>
      </c>
      <c r="X9" s="35"/>
    </row>
    <row r="10" spans="1:58" ht="24.9" customHeight="1" x14ac:dyDescent="0.3">
      <c r="A10" s="2">
        <v>55713</v>
      </c>
      <c r="B10" s="33" t="s">
        <v>10</v>
      </c>
      <c r="C10" s="14">
        <v>45057</v>
      </c>
      <c r="D10" s="34">
        <v>2</v>
      </c>
      <c r="E10" s="34">
        <v>3</v>
      </c>
      <c r="F10" s="35">
        <v>386677</v>
      </c>
      <c r="G10" s="35">
        <v>0</v>
      </c>
      <c r="H10" s="35">
        <f>ROUND(F10-G10,)</f>
        <v>386677</v>
      </c>
      <c r="I10" s="35">
        <f>ROUND(H10*18%,)</f>
        <v>69602</v>
      </c>
      <c r="J10" s="35">
        <f>H10+I10</f>
        <v>456279</v>
      </c>
      <c r="K10" s="35">
        <f>ROUND(H10*$K$6,)</f>
        <v>3867</v>
      </c>
      <c r="L10" s="35">
        <f>ROUND(H10*5%,)</f>
        <v>19334</v>
      </c>
      <c r="M10" s="35">
        <f>ROUND(H10*10%,)</f>
        <v>38668</v>
      </c>
      <c r="N10" s="35">
        <f>ROUND(H10*10%,)</f>
        <v>38668</v>
      </c>
      <c r="O10" s="57">
        <f>I10</f>
        <v>69602</v>
      </c>
      <c r="P10" s="35">
        <v>8865</v>
      </c>
      <c r="Q10" s="35">
        <f>ROUND(J10-SUM(K10:P10),)</f>
        <v>277275</v>
      </c>
      <c r="R10" s="36"/>
      <c r="S10" s="35" t="s">
        <v>16</v>
      </c>
      <c r="T10" s="35">
        <v>150000</v>
      </c>
      <c r="U10" s="35">
        <f>T10*U6</f>
        <v>1500</v>
      </c>
      <c r="V10" s="35">
        <f t="shared" si="1"/>
        <v>148500</v>
      </c>
      <c r="W10" s="37" t="s">
        <v>13</v>
      </c>
      <c r="X10" s="35"/>
    </row>
    <row r="11" spans="1:58" ht="24.9" customHeight="1" x14ac:dyDescent="0.3">
      <c r="A11" s="2">
        <v>55713</v>
      </c>
      <c r="B11" s="33" t="s">
        <v>19</v>
      </c>
      <c r="C11" s="16">
        <v>45064</v>
      </c>
      <c r="D11" s="34">
        <v>2</v>
      </c>
      <c r="E11" s="34"/>
      <c r="F11" s="35">
        <v>69602</v>
      </c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57">
        <f>F11</f>
        <v>69602</v>
      </c>
      <c r="R11" s="36"/>
      <c r="S11" s="35" t="s">
        <v>18</v>
      </c>
      <c r="T11" s="35">
        <v>143678</v>
      </c>
      <c r="U11" s="35">
        <v>0</v>
      </c>
      <c r="V11" s="35">
        <f t="shared" si="1"/>
        <v>143678</v>
      </c>
      <c r="W11" s="37" t="s">
        <v>17</v>
      </c>
      <c r="X11" s="35"/>
    </row>
    <row r="12" spans="1:58" ht="24.9" customHeight="1" x14ac:dyDescent="0.3">
      <c r="A12" s="2">
        <v>55713</v>
      </c>
      <c r="B12" s="33" t="s">
        <v>19</v>
      </c>
      <c r="C12" s="16">
        <v>45064</v>
      </c>
      <c r="D12" s="34">
        <v>8</v>
      </c>
      <c r="E12" s="34"/>
      <c r="F12" s="35">
        <v>25095</v>
      </c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57">
        <f>F12</f>
        <v>25095</v>
      </c>
      <c r="R12" s="36"/>
      <c r="S12" s="35" t="s">
        <v>25</v>
      </c>
      <c r="T12" s="35">
        <v>25094</v>
      </c>
      <c r="U12" s="35">
        <v>0</v>
      </c>
      <c r="V12" s="35">
        <f t="shared" si="1"/>
        <v>25094</v>
      </c>
      <c r="W12" s="37" t="s">
        <v>24</v>
      </c>
      <c r="X12" s="35"/>
    </row>
    <row r="13" spans="1:58" ht="24.9" customHeight="1" x14ac:dyDescent="0.3">
      <c r="A13" s="2">
        <v>55713</v>
      </c>
      <c r="B13" s="33" t="s">
        <v>19</v>
      </c>
      <c r="C13" s="14">
        <v>45017</v>
      </c>
      <c r="D13" s="34">
        <v>1</v>
      </c>
      <c r="E13" s="34"/>
      <c r="F13" s="35">
        <v>70057</v>
      </c>
      <c r="G13" s="35">
        <v>0</v>
      </c>
      <c r="H13" s="35">
        <f>ROUND(F13-G13,)</f>
        <v>70057</v>
      </c>
      <c r="I13" s="35">
        <v>0</v>
      </c>
      <c r="J13" s="35">
        <f t="shared" ref="J13:J18" si="3">H13+I13</f>
        <v>70057</v>
      </c>
      <c r="K13" s="35">
        <v>0</v>
      </c>
      <c r="L13" s="35">
        <v>0</v>
      </c>
      <c r="M13" s="35">
        <v>0</v>
      </c>
      <c r="N13" s="35">
        <v>0</v>
      </c>
      <c r="O13" s="35">
        <f>I13</f>
        <v>0</v>
      </c>
      <c r="P13" s="35">
        <v>0</v>
      </c>
      <c r="Q13" s="57">
        <f>ROUND(J13-SUM(K13:P13),)</f>
        <v>70057</v>
      </c>
      <c r="R13" s="36"/>
      <c r="S13" s="35" t="s">
        <v>27</v>
      </c>
      <c r="T13" s="35">
        <v>277276</v>
      </c>
      <c r="U13" s="35"/>
      <c r="V13" s="35">
        <f t="shared" si="1"/>
        <v>277276</v>
      </c>
      <c r="W13" s="37" t="s">
        <v>26</v>
      </c>
      <c r="X13" s="35"/>
    </row>
    <row r="14" spans="1:58" ht="24.9" customHeight="1" x14ac:dyDescent="0.3">
      <c r="A14" s="2">
        <v>55713</v>
      </c>
      <c r="B14" s="33" t="s">
        <v>10</v>
      </c>
      <c r="C14" s="16">
        <v>45102</v>
      </c>
      <c r="D14" s="34">
        <v>3</v>
      </c>
      <c r="E14" s="34">
        <v>4</v>
      </c>
      <c r="F14" s="35">
        <v>657719</v>
      </c>
      <c r="G14" s="35">
        <v>0</v>
      </c>
      <c r="H14" s="35">
        <f>ROUND(F14-G14,)</f>
        <v>657719</v>
      </c>
      <c r="I14" s="35">
        <f>ROUND(H14*18%,)</f>
        <v>118389</v>
      </c>
      <c r="J14" s="35">
        <f t="shared" si="3"/>
        <v>776108</v>
      </c>
      <c r="K14" s="35">
        <f>ROUND(H14*$K$6,)</f>
        <v>6577</v>
      </c>
      <c r="L14" s="35">
        <f>ROUND(H14*5%,)</f>
        <v>32886</v>
      </c>
      <c r="M14" s="35">
        <f>ROUND(H14*10%,)</f>
        <v>65772</v>
      </c>
      <c r="N14" s="35">
        <f>ROUND(H14*10%,)</f>
        <v>65772</v>
      </c>
      <c r="O14" s="57">
        <f>I14</f>
        <v>118389</v>
      </c>
      <c r="P14" s="35">
        <v>13556</v>
      </c>
      <c r="Q14" s="35">
        <f>ROUND(J14-SUM(K14:P14),)</f>
        <v>473156</v>
      </c>
      <c r="R14" s="36"/>
      <c r="S14" s="35" t="s">
        <v>21</v>
      </c>
      <c r="T14" s="35">
        <v>100000</v>
      </c>
      <c r="U14" s="35">
        <f>T14*U6</f>
        <v>1000</v>
      </c>
      <c r="V14" s="35">
        <f t="shared" si="1"/>
        <v>99000</v>
      </c>
      <c r="W14" s="37" t="s">
        <v>20</v>
      </c>
      <c r="X14" s="35"/>
    </row>
    <row r="15" spans="1:58" ht="24.9" customHeight="1" x14ac:dyDescent="0.3">
      <c r="A15" s="2">
        <v>55713</v>
      </c>
      <c r="B15" s="16" t="s">
        <v>10</v>
      </c>
      <c r="C15" s="16">
        <v>45164</v>
      </c>
      <c r="D15" s="34">
        <v>5</v>
      </c>
      <c r="E15" s="34">
        <v>5</v>
      </c>
      <c r="F15" s="35">
        <v>331006.5</v>
      </c>
      <c r="G15" s="35">
        <v>1.5</v>
      </c>
      <c r="H15" s="35">
        <f>ROUND(F15-G15,)</f>
        <v>331005</v>
      </c>
      <c r="I15" s="35">
        <f>ROUND(H15*18%,)</f>
        <v>59581</v>
      </c>
      <c r="J15" s="35">
        <f t="shared" si="3"/>
        <v>390586</v>
      </c>
      <c r="K15" s="35">
        <f>ROUND(H15*$K$6,)</f>
        <v>3310</v>
      </c>
      <c r="L15" s="35">
        <f>ROUND(H15*5%,)</f>
        <v>16550</v>
      </c>
      <c r="M15" s="35">
        <v>0</v>
      </c>
      <c r="N15" s="35">
        <v>0</v>
      </c>
      <c r="O15" s="57">
        <f>I15</f>
        <v>59581</v>
      </c>
      <c r="P15" s="35">
        <v>0</v>
      </c>
      <c r="Q15" s="35">
        <f>ROUND(J15-SUM(K15:P15),)</f>
        <v>311145</v>
      </c>
      <c r="R15" s="36"/>
      <c r="S15" s="35" t="s">
        <v>23</v>
      </c>
      <c r="T15" s="35">
        <v>70057</v>
      </c>
      <c r="U15" s="35">
        <v>0</v>
      </c>
      <c r="V15" s="35">
        <f t="shared" si="1"/>
        <v>70057</v>
      </c>
      <c r="W15" s="37" t="s">
        <v>22</v>
      </c>
      <c r="X15" s="35"/>
    </row>
    <row r="16" spans="1:58" ht="24.9" customHeight="1" x14ac:dyDescent="0.3">
      <c r="A16" s="2">
        <v>55713</v>
      </c>
      <c r="B16" s="16" t="s">
        <v>10</v>
      </c>
      <c r="C16" s="16">
        <v>45189</v>
      </c>
      <c r="D16" s="34">
        <v>7</v>
      </c>
      <c r="E16" s="34">
        <v>7</v>
      </c>
      <c r="F16" s="35">
        <v>310769</v>
      </c>
      <c r="G16" s="35">
        <v>38150</v>
      </c>
      <c r="H16" s="35">
        <f>ROUND(F16-G16,)</f>
        <v>272619</v>
      </c>
      <c r="I16" s="35">
        <f>ROUND(H16*18%,)</f>
        <v>49071</v>
      </c>
      <c r="J16" s="35">
        <f t="shared" si="3"/>
        <v>321690</v>
      </c>
      <c r="K16" s="35">
        <f>ROUND(H16*$K$6,)</f>
        <v>2726</v>
      </c>
      <c r="L16" s="35">
        <f>ROUND(H16*5%,)</f>
        <v>13631</v>
      </c>
      <c r="M16" s="35">
        <f>ROUND(H16*10%,)</f>
        <v>27262</v>
      </c>
      <c r="N16" s="35">
        <f>ROUND(H16*10%,)</f>
        <v>27262</v>
      </c>
      <c r="O16" s="57">
        <f>I16</f>
        <v>49071</v>
      </c>
      <c r="P16" s="35">
        <v>0</v>
      </c>
      <c r="Q16" s="35">
        <f>ROUND(J16-SUM(K16:P16),)</f>
        <v>201738</v>
      </c>
      <c r="R16" s="36"/>
      <c r="S16" s="35" t="s">
        <v>88</v>
      </c>
      <c r="T16" s="35">
        <v>374156</v>
      </c>
      <c r="U16" s="38"/>
      <c r="V16" s="35">
        <f t="shared" si="1"/>
        <v>374156</v>
      </c>
      <c r="W16" s="38" t="s">
        <v>87</v>
      </c>
      <c r="X16" s="35"/>
    </row>
    <row r="17" spans="1:58" ht="24.9" customHeight="1" x14ac:dyDescent="0.3">
      <c r="A17" s="2">
        <v>55713</v>
      </c>
      <c r="B17" s="16" t="s">
        <v>10</v>
      </c>
      <c r="C17" s="16">
        <v>45196</v>
      </c>
      <c r="D17" s="34">
        <v>9</v>
      </c>
      <c r="E17" s="34">
        <v>9</v>
      </c>
      <c r="F17" s="35">
        <v>403307</v>
      </c>
      <c r="G17" s="35">
        <v>0</v>
      </c>
      <c r="H17" s="35">
        <f>ROUND(F17-G17,)</f>
        <v>403307</v>
      </c>
      <c r="I17" s="35">
        <f>ROUND(H17*18%,)</f>
        <v>72595</v>
      </c>
      <c r="J17" s="35">
        <f t="shared" si="3"/>
        <v>475902</v>
      </c>
      <c r="K17" s="35">
        <f>ROUND(H17*$K$6,)</f>
        <v>4033</v>
      </c>
      <c r="L17" s="35">
        <f>ROUND(H17*5%,)</f>
        <v>20165</v>
      </c>
      <c r="M17" s="35">
        <f>ROUND(H17*10%,)</f>
        <v>40331</v>
      </c>
      <c r="N17" s="35">
        <f>ROUND(H17*10%,)</f>
        <v>40331</v>
      </c>
      <c r="O17" s="57">
        <f>I17</f>
        <v>72595</v>
      </c>
      <c r="P17" s="35">
        <v>0</v>
      </c>
      <c r="Q17" s="35">
        <f>ROUND(J17-SUM(K17:P17),)</f>
        <v>298447</v>
      </c>
      <c r="R17" s="36"/>
      <c r="S17" s="35" t="s">
        <v>92</v>
      </c>
      <c r="T17" s="35">
        <v>100000</v>
      </c>
      <c r="U17" s="35">
        <f>T17*U6</f>
        <v>1000</v>
      </c>
      <c r="V17" s="35">
        <f t="shared" si="1"/>
        <v>99000</v>
      </c>
      <c r="W17" s="38" t="s">
        <v>89</v>
      </c>
      <c r="X17" s="35"/>
    </row>
    <row r="18" spans="1:58" ht="24.9" customHeight="1" x14ac:dyDescent="0.3">
      <c r="A18" s="2">
        <v>55713</v>
      </c>
      <c r="B18" s="16" t="s">
        <v>10</v>
      </c>
      <c r="C18" s="16">
        <v>45268</v>
      </c>
      <c r="D18" s="34">
        <v>13</v>
      </c>
      <c r="E18" s="34">
        <v>13</v>
      </c>
      <c r="F18" s="35">
        <v>299333</v>
      </c>
      <c r="G18" s="35">
        <v>0</v>
      </c>
      <c r="H18" s="35">
        <f>F18-G18</f>
        <v>299333</v>
      </c>
      <c r="I18" s="35">
        <f>H18*18%</f>
        <v>53879.939999999995</v>
      </c>
      <c r="J18" s="35">
        <f t="shared" si="3"/>
        <v>353212.94</v>
      </c>
      <c r="K18" s="35">
        <f>H18*1%</f>
        <v>2993.33</v>
      </c>
      <c r="L18" s="35">
        <f>H18*5%</f>
        <v>14966.650000000001</v>
      </c>
      <c r="M18" s="35">
        <f>H18*10%</f>
        <v>29933.300000000003</v>
      </c>
      <c r="N18" s="35">
        <v>0</v>
      </c>
      <c r="O18" s="57">
        <f>H18*18%</f>
        <v>53879.939999999995</v>
      </c>
      <c r="P18" s="35">
        <v>0</v>
      </c>
      <c r="Q18" s="35">
        <f>H18-K18-L18-M18-N18</f>
        <v>251439.71999999997</v>
      </c>
      <c r="R18" s="36"/>
      <c r="S18" s="35" t="s">
        <v>93</v>
      </c>
      <c r="T18" s="35">
        <v>150000</v>
      </c>
      <c r="U18" s="35">
        <f>T18*U6</f>
        <v>1500</v>
      </c>
      <c r="V18" s="35">
        <f t="shared" si="1"/>
        <v>148500</v>
      </c>
      <c r="W18" s="38" t="s">
        <v>90</v>
      </c>
      <c r="X18" s="35"/>
    </row>
    <row r="19" spans="1:58" ht="24.9" customHeight="1" x14ac:dyDescent="0.3">
      <c r="A19" s="2">
        <v>55713</v>
      </c>
      <c r="B19" s="33" t="s">
        <v>19</v>
      </c>
      <c r="C19" s="16"/>
      <c r="D19" s="34">
        <v>4</v>
      </c>
      <c r="E19" s="35"/>
      <c r="F19" s="35">
        <f>O14</f>
        <v>118389</v>
      </c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57">
        <f>F19</f>
        <v>118389</v>
      </c>
      <c r="R19" s="36"/>
      <c r="S19" s="35" t="s">
        <v>94</v>
      </c>
      <c r="T19" s="35">
        <v>63645</v>
      </c>
      <c r="U19" s="35"/>
      <c r="V19" s="35">
        <f t="shared" si="1"/>
        <v>63645</v>
      </c>
      <c r="W19" s="38" t="s">
        <v>91</v>
      </c>
      <c r="X19" s="35"/>
    </row>
    <row r="20" spans="1:58" ht="24.9" customHeight="1" x14ac:dyDescent="0.3">
      <c r="A20" s="2">
        <v>55713</v>
      </c>
      <c r="B20" s="33" t="s">
        <v>19</v>
      </c>
      <c r="C20" s="16"/>
      <c r="D20" s="34">
        <v>5</v>
      </c>
      <c r="E20" s="35"/>
      <c r="F20" s="35">
        <f t="shared" ref="F20:F22" si="4">O15</f>
        <v>59581</v>
      </c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57">
        <f>F20</f>
        <v>59581</v>
      </c>
      <c r="R20" s="36"/>
      <c r="S20" s="35" t="s">
        <v>97</v>
      </c>
      <c r="T20" s="35">
        <v>150000</v>
      </c>
      <c r="U20" s="35">
        <f>T20*U6</f>
        <v>1500</v>
      </c>
      <c r="V20" s="35">
        <f t="shared" si="1"/>
        <v>148500</v>
      </c>
      <c r="W20" s="38" t="s">
        <v>96</v>
      </c>
      <c r="X20" s="35"/>
    </row>
    <row r="21" spans="1:58" ht="24.9" customHeight="1" x14ac:dyDescent="0.2">
      <c r="A21" s="2">
        <v>55713</v>
      </c>
      <c r="B21" s="33" t="s">
        <v>19</v>
      </c>
      <c r="C21" s="16"/>
      <c r="D21" s="34">
        <v>7</v>
      </c>
      <c r="E21" s="34"/>
      <c r="F21" s="35">
        <f t="shared" si="4"/>
        <v>49071</v>
      </c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57">
        <f t="shared" ref="Q21:Q22" si="5">F21</f>
        <v>49071</v>
      </c>
      <c r="R21" s="36"/>
      <c r="S21" s="39" t="s">
        <v>106</v>
      </c>
      <c r="T21" s="35">
        <v>149947</v>
      </c>
      <c r="U21" s="35"/>
      <c r="V21" s="35">
        <f t="shared" si="1"/>
        <v>149947</v>
      </c>
      <c r="W21" s="38" t="s">
        <v>104</v>
      </c>
      <c r="X21" s="35"/>
    </row>
    <row r="22" spans="1:58" ht="24.9" customHeight="1" x14ac:dyDescent="0.2">
      <c r="A22" s="2">
        <v>55713</v>
      </c>
      <c r="B22" s="33" t="s">
        <v>19</v>
      </c>
      <c r="C22" s="16"/>
      <c r="D22" s="34">
        <v>9</v>
      </c>
      <c r="E22" s="34"/>
      <c r="F22" s="35">
        <f t="shared" si="4"/>
        <v>72595</v>
      </c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57">
        <f t="shared" si="5"/>
        <v>72595</v>
      </c>
      <c r="R22" s="36"/>
      <c r="S22" s="39" t="s">
        <v>107</v>
      </c>
      <c r="T22" s="35">
        <v>201737</v>
      </c>
      <c r="U22" s="35"/>
      <c r="V22" s="35">
        <f t="shared" si="1"/>
        <v>201737</v>
      </c>
      <c r="W22" s="38" t="s">
        <v>105</v>
      </c>
      <c r="X22" s="35"/>
    </row>
    <row r="23" spans="1:58" ht="24.9" customHeight="1" x14ac:dyDescent="0.2">
      <c r="A23" s="2">
        <v>55713</v>
      </c>
      <c r="B23" s="33" t="s">
        <v>19</v>
      </c>
      <c r="C23" s="16"/>
      <c r="D23" s="34">
        <v>13</v>
      </c>
      <c r="E23" s="34"/>
      <c r="F23" s="35">
        <f t="shared" ref="F23" si="6">O18</f>
        <v>53879.939999999995</v>
      </c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57">
        <f t="shared" ref="Q23" si="7">F23</f>
        <v>53879.939999999995</v>
      </c>
      <c r="R23" s="36"/>
      <c r="S23" s="39" t="s">
        <v>120</v>
      </c>
      <c r="T23" s="35">
        <v>69602</v>
      </c>
      <c r="U23" s="35"/>
      <c r="V23" s="35">
        <f t="shared" si="1"/>
        <v>69602</v>
      </c>
      <c r="W23" s="38" t="s">
        <v>115</v>
      </c>
      <c r="X23" s="35"/>
    </row>
    <row r="24" spans="1:58" ht="24.9" customHeight="1" x14ac:dyDescent="0.2">
      <c r="A24" s="2">
        <v>55713</v>
      </c>
      <c r="B24" s="16"/>
      <c r="C24" s="16"/>
      <c r="D24" s="34"/>
      <c r="E24" s="34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  <c r="S24" s="39" t="s">
        <v>121</v>
      </c>
      <c r="T24" s="35">
        <v>177970</v>
      </c>
      <c r="U24" s="35"/>
      <c r="V24" s="35">
        <f t="shared" si="1"/>
        <v>177970</v>
      </c>
      <c r="W24" s="38" t="s">
        <v>116</v>
      </c>
      <c r="X24" s="35"/>
    </row>
    <row r="25" spans="1:58" ht="24.9" customHeight="1" x14ac:dyDescent="0.2">
      <c r="A25" s="2">
        <v>55713</v>
      </c>
      <c r="B25" s="16"/>
      <c r="C25" s="16"/>
      <c r="D25" s="34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6"/>
      <c r="S25" s="39" t="s">
        <v>122</v>
      </c>
      <c r="T25" s="35">
        <v>80000</v>
      </c>
      <c r="U25" s="35">
        <f>T25*U6</f>
        <v>800</v>
      </c>
      <c r="V25" s="35">
        <f t="shared" si="1"/>
        <v>79200</v>
      </c>
      <c r="W25" s="38" t="s">
        <v>117</v>
      </c>
      <c r="X25" s="35"/>
    </row>
    <row r="26" spans="1:58" ht="24.9" customHeight="1" x14ac:dyDescent="0.2">
      <c r="A26" s="2">
        <v>55713</v>
      </c>
      <c r="B26" s="16"/>
      <c r="C26" s="16"/>
      <c r="D26" s="34"/>
      <c r="E26" s="34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6"/>
      <c r="S26" s="39" t="s">
        <v>123</v>
      </c>
      <c r="T26" s="35">
        <v>49071</v>
      </c>
      <c r="U26" s="35"/>
      <c r="V26" s="35">
        <f t="shared" si="1"/>
        <v>49071</v>
      </c>
      <c r="W26" s="38" t="s">
        <v>118</v>
      </c>
      <c r="X26" s="35"/>
    </row>
    <row r="27" spans="1:58" ht="24.9" customHeight="1" x14ac:dyDescent="0.2">
      <c r="A27" s="2">
        <v>55713</v>
      </c>
      <c r="B27" s="16"/>
      <c r="C27" s="16"/>
      <c r="D27" s="34"/>
      <c r="E27" s="34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6"/>
      <c r="S27" s="39" t="s">
        <v>124</v>
      </c>
      <c r="T27" s="35">
        <v>142307</v>
      </c>
      <c r="U27" s="35"/>
      <c r="V27" s="35">
        <f t="shared" si="1"/>
        <v>142307</v>
      </c>
      <c r="W27" s="38" t="s">
        <v>119</v>
      </c>
      <c r="X27" s="35"/>
    </row>
    <row r="28" spans="1:58" ht="24.9" customHeight="1" x14ac:dyDescent="0.2">
      <c r="A28" s="2">
        <v>55713</v>
      </c>
      <c r="B28" s="16"/>
      <c r="C28" s="16"/>
      <c r="D28" s="34"/>
      <c r="E28" s="34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6"/>
      <c r="S28" s="39" t="s">
        <v>135</v>
      </c>
      <c r="T28" s="35">
        <v>72595</v>
      </c>
      <c r="U28" s="35"/>
      <c r="V28" s="35">
        <f t="shared" ref="V28" si="8">T28-U28</f>
        <v>72595</v>
      </c>
      <c r="W28" s="38" t="s">
        <v>134</v>
      </c>
      <c r="X28" s="35"/>
    </row>
    <row r="29" spans="1:58" ht="24.9" customHeight="1" x14ac:dyDescent="0.2">
      <c r="A29" s="2">
        <v>55713</v>
      </c>
      <c r="B29" s="16"/>
      <c r="C29" s="16"/>
      <c r="D29" s="34"/>
      <c r="E29" s="34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6"/>
      <c r="S29" s="39" t="s">
        <v>143</v>
      </c>
      <c r="T29" s="35">
        <v>99000</v>
      </c>
      <c r="U29" s="35"/>
      <c r="V29" s="35">
        <v>99000</v>
      </c>
      <c r="W29" s="38" t="s">
        <v>142</v>
      </c>
      <c r="X29" s="35"/>
    </row>
    <row r="30" spans="1:58" ht="24.9" customHeight="1" x14ac:dyDescent="0.2">
      <c r="A30" s="2">
        <v>55713</v>
      </c>
      <c r="B30" s="16"/>
      <c r="C30" s="16"/>
      <c r="D30" s="34"/>
      <c r="E30" s="34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6"/>
      <c r="S30" s="39" t="s">
        <v>156</v>
      </c>
      <c r="T30" s="35"/>
      <c r="U30" s="35"/>
      <c r="V30" s="35">
        <v>53880</v>
      </c>
      <c r="W30" s="38" t="s">
        <v>149</v>
      </c>
      <c r="X30" s="35"/>
    </row>
    <row r="31" spans="1:58" s="26" customFormat="1" ht="24.9" customHeight="1" x14ac:dyDescent="0.3">
      <c r="B31" s="40"/>
      <c r="C31" s="40"/>
      <c r="D31" s="41"/>
      <c r="E31" s="41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1">
        <v>53640</v>
      </c>
      <c r="S31" s="32"/>
      <c r="T31" s="32"/>
      <c r="U31" s="32"/>
      <c r="V31" s="32"/>
      <c r="W31" s="42"/>
      <c r="X31" s="3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</row>
    <row r="32" spans="1:58" ht="24.9" customHeight="1" x14ac:dyDescent="0.3">
      <c r="A32" s="2">
        <v>53640</v>
      </c>
      <c r="B32" s="16" t="s">
        <v>62</v>
      </c>
      <c r="C32" s="16">
        <v>44896</v>
      </c>
      <c r="D32" s="34">
        <v>4</v>
      </c>
      <c r="E32" s="34"/>
      <c r="F32" s="35">
        <v>357732</v>
      </c>
      <c r="G32" s="35">
        <v>0</v>
      </c>
      <c r="H32" s="35">
        <v>357732</v>
      </c>
      <c r="I32" s="35">
        <v>64392</v>
      </c>
      <c r="J32" s="35">
        <v>422124</v>
      </c>
      <c r="K32" s="35">
        <v>3577</v>
      </c>
      <c r="L32" s="35">
        <v>17887</v>
      </c>
      <c r="M32" s="35">
        <v>35773</v>
      </c>
      <c r="N32" s="35">
        <v>35773</v>
      </c>
      <c r="O32" s="57">
        <v>64392</v>
      </c>
      <c r="P32" s="35">
        <v>18743</v>
      </c>
      <c r="Q32" s="35">
        <v>245979</v>
      </c>
      <c r="R32" s="36"/>
      <c r="S32" s="35" t="s">
        <v>46</v>
      </c>
      <c r="T32" s="35">
        <v>245979</v>
      </c>
      <c r="U32" s="35">
        <v>0</v>
      </c>
      <c r="V32" s="35">
        <f t="shared" ref="V32:V40" si="9">T32-U32</f>
        <v>245979</v>
      </c>
      <c r="W32" s="38" t="s">
        <v>47</v>
      </c>
      <c r="X32" s="35">
        <f>SUM(Q32:Q54)-SUM(V32:V54)</f>
        <v>-340357</v>
      </c>
    </row>
    <row r="33" spans="1:24" ht="24.9" customHeight="1" x14ac:dyDescent="0.3">
      <c r="A33" s="2">
        <v>53640</v>
      </c>
      <c r="B33" s="16" t="s">
        <v>62</v>
      </c>
      <c r="C33" s="16">
        <v>44927</v>
      </c>
      <c r="D33" s="34">
        <v>5</v>
      </c>
      <c r="E33" s="34"/>
      <c r="F33" s="35">
        <v>877768</v>
      </c>
      <c r="G33" s="35">
        <v>0</v>
      </c>
      <c r="H33" s="35">
        <v>877768</v>
      </c>
      <c r="I33" s="35">
        <v>157998</v>
      </c>
      <c r="J33" s="35">
        <v>1035766</v>
      </c>
      <c r="K33" s="35">
        <v>8778</v>
      </c>
      <c r="L33" s="35">
        <v>43888</v>
      </c>
      <c r="M33" s="35">
        <v>87777</v>
      </c>
      <c r="N33" s="35">
        <v>87777</v>
      </c>
      <c r="O33" s="57">
        <v>157998</v>
      </c>
      <c r="P33" s="35">
        <v>64890</v>
      </c>
      <c r="Q33" s="35">
        <v>584658</v>
      </c>
      <c r="R33" s="36"/>
      <c r="S33" s="35" t="s">
        <v>48</v>
      </c>
      <c r="T33" s="35">
        <v>584658</v>
      </c>
      <c r="U33" s="35">
        <v>0</v>
      </c>
      <c r="V33" s="35">
        <f t="shared" si="9"/>
        <v>584658</v>
      </c>
      <c r="W33" s="38" t="s">
        <v>49</v>
      </c>
      <c r="X33" s="35"/>
    </row>
    <row r="34" spans="1:24" ht="24.9" customHeight="1" x14ac:dyDescent="0.3">
      <c r="A34" s="2">
        <v>53640</v>
      </c>
      <c r="B34" s="16" t="s">
        <v>63</v>
      </c>
      <c r="C34" s="16">
        <v>44947</v>
      </c>
      <c r="D34" s="34">
        <v>4</v>
      </c>
      <c r="E34" s="34"/>
      <c r="F34" s="35">
        <v>64392</v>
      </c>
      <c r="G34" s="35"/>
      <c r="H34" s="35">
        <v>64392</v>
      </c>
      <c r="I34" s="35">
        <v>0</v>
      </c>
      <c r="J34" s="35">
        <v>0</v>
      </c>
      <c r="K34" s="35">
        <v>0</v>
      </c>
      <c r="L34" s="35">
        <v>0</v>
      </c>
      <c r="M34" s="35">
        <v>0</v>
      </c>
      <c r="N34" s="35">
        <v>0</v>
      </c>
      <c r="O34" s="35">
        <v>0</v>
      </c>
      <c r="P34" s="35">
        <v>0</v>
      </c>
      <c r="Q34" s="35">
        <v>64392</v>
      </c>
      <c r="R34" s="36"/>
      <c r="S34" s="35" t="s">
        <v>50</v>
      </c>
      <c r="T34" s="35">
        <v>64392</v>
      </c>
      <c r="U34" s="35">
        <v>0</v>
      </c>
      <c r="V34" s="35">
        <f t="shared" si="9"/>
        <v>64392</v>
      </c>
      <c r="W34" s="38" t="s">
        <v>51</v>
      </c>
      <c r="X34" s="35"/>
    </row>
    <row r="35" spans="1:24" ht="24.9" customHeight="1" x14ac:dyDescent="0.3">
      <c r="A35" s="2">
        <v>53640</v>
      </c>
      <c r="B35" s="16" t="s">
        <v>62</v>
      </c>
      <c r="C35" s="16">
        <v>44956</v>
      </c>
      <c r="D35" s="34">
        <v>6</v>
      </c>
      <c r="E35" s="34"/>
      <c r="F35" s="35">
        <v>545978</v>
      </c>
      <c r="G35" s="35">
        <v>0</v>
      </c>
      <c r="H35" s="35">
        <v>545978</v>
      </c>
      <c r="I35" s="35">
        <v>98276</v>
      </c>
      <c r="J35" s="35">
        <v>644254</v>
      </c>
      <c r="K35" s="35">
        <v>5460</v>
      </c>
      <c r="L35" s="35">
        <v>27299</v>
      </c>
      <c r="M35" s="35">
        <v>54598</v>
      </c>
      <c r="N35" s="35">
        <v>54598</v>
      </c>
      <c r="O35" s="57">
        <v>98276</v>
      </c>
      <c r="P35" s="35">
        <v>40097</v>
      </c>
      <c r="Q35" s="35">
        <v>363926</v>
      </c>
      <c r="R35" s="36"/>
      <c r="S35" s="35" t="s">
        <v>52</v>
      </c>
      <c r="T35" s="35">
        <v>363926</v>
      </c>
      <c r="U35" s="35">
        <v>0</v>
      </c>
      <c r="V35" s="35">
        <f t="shared" si="9"/>
        <v>363926</v>
      </c>
      <c r="W35" s="38" t="s">
        <v>53</v>
      </c>
      <c r="X35" s="35"/>
    </row>
    <row r="36" spans="1:24" ht="24.9" customHeight="1" x14ac:dyDescent="0.3">
      <c r="A36" s="2">
        <v>53640</v>
      </c>
      <c r="B36" s="16" t="s">
        <v>62</v>
      </c>
      <c r="C36" s="16">
        <v>44987</v>
      </c>
      <c r="D36" s="34">
        <v>7</v>
      </c>
      <c r="E36" s="34"/>
      <c r="F36" s="35">
        <v>555391</v>
      </c>
      <c r="G36" s="35">
        <v>0</v>
      </c>
      <c r="H36" s="35">
        <v>555391</v>
      </c>
      <c r="I36" s="35">
        <v>99970</v>
      </c>
      <c r="J36" s="35">
        <v>655361</v>
      </c>
      <c r="K36" s="35">
        <v>5554</v>
      </c>
      <c r="L36" s="35">
        <v>27770</v>
      </c>
      <c r="M36" s="35">
        <v>55539</v>
      </c>
      <c r="N36" s="35">
        <v>55539</v>
      </c>
      <c r="O36" s="57">
        <v>99970</v>
      </c>
      <c r="P36" s="35">
        <v>0</v>
      </c>
      <c r="Q36" s="35">
        <v>410989</v>
      </c>
      <c r="R36" s="36"/>
      <c r="S36" s="35" t="s">
        <v>54</v>
      </c>
      <c r="T36" s="35">
        <v>100000</v>
      </c>
      <c r="U36" s="35">
        <v>1000</v>
      </c>
      <c r="V36" s="35">
        <f t="shared" si="9"/>
        <v>99000</v>
      </c>
      <c r="W36" s="38" t="s">
        <v>55</v>
      </c>
      <c r="X36" s="35"/>
    </row>
    <row r="37" spans="1:24" ht="24.9" customHeight="1" x14ac:dyDescent="0.3">
      <c r="A37" s="2">
        <v>53640</v>
      </c>
      <c r="B37" s="16" t="s">
        <v>63</v>
      </c>
      <c r="C37" s="16">
        <v>45021</v>
      </c>
      <c r="D37" s="34">
        <v>5</v>
      </c>
      <c r="E37" s="34"/>
      <c r="F37" s="35">
        <v>157998</v>
      </c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57">
        <v>157998</v>
      </c>
      <c r="R37" s="36"/>
      <c r="S37" s="35" t="s">
        <v>56</v>
      </c>
      <c r="T37" s="35">
        <v>250000</v>
      </c>
      <c r="U37" s="35">
        <v>2500</v>
      </c>
      <c r="V37" s="35">
        <f t="shared" si="9"/>
        <v>247500</v>
      </c>
      <c r="W37" s="38" t="s">
        <v>57</v>
      </c>
      <c r="X37" s="35"/>
    </row>
    <row r="38" spans="1:24" ht="24.9" customHeight="1" x14ac:dyDescent="0.3">
      <c r="A38" s="2">
        <v>53640</v>
      </c>
      <c r="B38" s="16" t="s">
        <v>63</v>
      </c>
      <c r="C38" s="16">
        <v>45021</v>
      </c>
      <c r="D38" s="34">
        <v>6</v>
      </c>
      <c r="E38" s="34"/>
      <c r="F38" s="35">
        <v>98276</v>
      </c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57">
        <v>98276</v>
      </c>
      <c r="R38" s="36"/>
      <c r="S38" s="35" t="s">
        <v>58</v>
      </c>
      <c r="T38" s="35">
        <v>100000</v>
      </c>
      <c r="U38" s="35">
        <v>1000</v>
      </c>
      <c r="V38" s="35">
        <f t="shared" si="9"/>
        <v>99000</v>
      </c>
      <c r="W38" s="38" t="s">
        <v>59</v>
      </c>
      <c r="X38" s="35"/>
    </row>
    <row r="39" spans="1:24" ht="24.9" customHeight="1" x14ac:dyDescent="0.3">
      <c r="A39" s="2">
        <v>53640</v>
      </c>
      <c r="B39" s="16" t="s">
        <v>63</v>
      </c>
      <c r="C39" s="16">
        <v>45045</v>
      </c>
      <c r="D39" s="34">
        <v>7</v>
      </c>
      <c r="E39" s="34"/>
      <c r="F39" s="35">
        <v>99970</v>
      </c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57">
        <v>99970</v>
      </c>
      <c r="R39" s="36"/>
      <c r="S39" s="35"/>
      <c r="T39" s="35">
        <v>256274</v>
      </c>
      <c r="U39" s="35"/>
      <c r="V39" s="35">
        <f t="shared" si="9"/>
        <v>256274</v>
      </c>
      <c r="W39" s="38" t="s">
        <v>95</v>
      </c>
      <c r="X39" s="35"/>
    </row>
    <row r="40" spans="1:24" ht="24.9" customHeight="1" x14ac:dyDescent="0.3">
      <c r="A40" s="2">
        <v>53640</v>
      </c>
      <c r="B40" s="43" t="s">
        <v>62</v>
      </c>
      <c r="C40" s="16">
        <v>45134</v>
      </c>
      <c r="D40" s="44">
        <v>4</v>
      </c>
      <c r="E40" s="44"/>
      <c r="F40" s="35">
        <v>454626</v>
      </c>
      <c r="G40" s="35">
        <v>110427.09</v>
      </c>
      <c r="H40" s="35">
        <f>F40-G40</f>
        <v>344198.91000000003</v>
      </c>
      <c r="I40" s="35">
        <f>ROUND(H40*18%,)</f>
        <v>61956</v>
      </c>
      <c r="J40" s="35">
        <f>H40+I40</f>
        <v>406154.91000000003</v>
      </c>
      <c r="K40" s="35">
        <f>ROUND(H40*$K$6,)</f>
        <v>3442</v>
      </c>
      <c r="L40" s="35">
        <f>ROUND(H40*5%,)</f>
        <v>17210</v>
      </c>
      <c r="M40" s="35">
        <f t="shared" ref="M40" si="10">ROUND(H40*10%,)</f>
        <v>34420</v>
      </c>
      <c r="N40" s="35">
        <f>ROUND(H40*10%,)</f>
        <v>34420</v>
      </c>
      <c r="O40" s="57">
        <f>I40</f>
        <v>61956</v>
      </c>
      <c r="P40" s="35">
        <v>0</v>
      </c>
      <c r="Q40" s="35">
        <f>ROUND(J40-SUM(K40:P40),)</f>
        <v>254707</v>
      </c>
      <c r="R40" s="36"/>
      <c r="S40" s="35" t="s">
        <v>60</v>
      </c>
      <c r="T40" s="35">
        <v>99970</v>
      </c>
      <c r="U40" s="35"/>
      <c r="V40" s="35">
        <f t="shared" si="9"/>
        <v>99970</v>
      </c>
      <c r="W40" s="38" t="s">
        <v>61</v>
      </c>
      <c r="X40" s="35"/>
    </row>
    <row r="41" spans="1:24" ht="24.9" customHeight="1" x14ac:dyDescent="0.3">
      <c r="A41" s="2">
        <v>53640</v>
      </c>
      <c r="B41" s="43" t="s">
        <v>62</v>
      </c>
      <c r="C41" s="16">
        <v>45174</v>
      </c>
      <c r="D41" s="44">
        <v>6</v>
      </c>
      <c r="E41" s="44"/>
      <c r="F41" s="35">
        <v>320402</v>
      </c>
      <c r="G41" s="35">
        <v>0</v>
      </c>
      <c r="H41" s="35">
        <f>F41-G41</f>
        <v>320402</v>
      </c>
      <c r="I41" s="35">
        <f>ROUND(H41*18%,)</f>
        <v>57672</v>
      </c>
      <c r="J41" s="35">
        <f>H41+I41</f>
        <v>378074</v>
      </c>
      <c r="K41" s="35">
        <f>ROUND(H41*$K$6,)</f>
        <v>3204</v>
      </c>
      <c r="L41" s="35">
        <f>ROUND(H41*5%,)</f>
        <v>16020</v>
      </c>
      <c r="M41" s="35">
        <f t="shared" ref="M41" si="11">ROUND(H41*10%,)</f>
        <v>32040</v>
      </c>
      <c r="N41" s="35">
        <f>ROUND(H41*10%,)</f>
        <v>32040</v>
      </c>
      <c r="O41" s="57">
        <f>I41</f>
        <v>57672</v>
      </c>
      <c r="P41" s="35">
        <v>0</v>
      </c>
      <c r="Q41" s="35">
        <f>ROUND(J41-SUM(K41:P41),)</f>
        <v>237098</v>
      </c>
      <c r="R41" s="36"/>
      <c r="S41" s="35" t="s">
        <v>129</v>
      </c>
      <c r="T41" s="35">
        <v>220197</v>
      </c>
      <c r="U41" s="35"/>
      <c r="V41" s="35">
        <f>T41-U41</f>
        <v>220197</v>
      </c>
      <c r="W41" s="38" t="s">
        <v>108</v>
      </c>
      <c r="X41" s="35"/>
    </row>
    <row r="42" spans="1:24" ht="24.9" customHeight="1" x14ac:dyDescent="0.3">
      <c r="A42" s="2">
        <v>53640</v>
      </c>
      <c r="B42" s="43" t="s">
        <v>62</v>
      </c>
      <c r="C42" s="16">
        <v>45195</v>
      </c>
      <c r="D42" s="44">
        <v>8</v>
      </c>
      <c r="E42" s="44"/>
      <c r="F42" s="35">
        <v>175450</v>
      </c>
      <c r="G42" s="35">
        <v>0</v>
      </c>
      <c r="H42" s="35">
        <f>F42-G42</f>
        <v>175450</v>
      </c>
      <c r="I42" s="35">
        <f>ROUND(H42*18%,)</f>
        <v>31581</v>
      </c>
      <c r="J42" s="35">
        <f>H42+I42</f>
        <v>207031</v>
      </c>
      <c r="K42" s="35">
        <f>ROUND(H42*$K$6,)</f>
        <v>1755</v>
      </c>
      <c r="L42" s="35">
        <f>ROUND(H42*5%,)</f>
        <v>8773</v>
      </c>
      <c r="M42" s="35">
        <f t="shared" ref="M42" si="12">ROUND(H42*10%,)</f>
        <v>17545</v>
      </c>
      <c r="N42" s="35">
        <f>ROUND(H42*10%,)</f>
        <v>17545</v>
      </c>
      <c r="O42" s="57">
        <f>I42</f>
        <v>31581</v>
      </c>
      <c r="P42" s="35">
        <v>0</v>
      </c>
      <c r="Q42" s="35">
        <f>ROUND(J42-SUM(K42:P42),)</f>
        <v>129832</v>
      </c>
      <c r="R42" s="36"/>
      <c r="S42" s="35" t="s">
        <v>86</v>
      </c>
      <c r="T42" s="35">
        <v>50000</v>
      </c>
      <c r="U42" s="35">
        <v>500</v>
      </c>
      <c r="V42" s="35">
        <f t="shared" ref="V42" si="13">T42-U42</f>
        <v>49500</v>
      </c>
      <c r="W42" s="38" t="s">
        <v>85</v>
      </c>
      <c r="X42" s="35"/>
    </row>
    <row r="43" spans="1:24" ht="24.9" customHeight="1" x14ac:dyDescent="0.3">
      <c r="A43" s="2">
        <v>53640</v>
      </c>
      <c r="B43" s="43" t="s">
        <v>62</v>
      </c>
      <c r="C43" s="16">
        <v>45219</v>
      </c>
      <c r="D43" s="44">
        <v>11</v>
      </c>
      <c r="E43" s="44"/>
      <c r="F43" s="35">
        <v>671125</v>
      </c>
      <c r="G43" s="35">
        <v>0</v>
      </c>
      <c r="H43" s="35">
        <f>F43-G43</f>
        <v>671125</v>
      </c>
      <c r="I43" s="35">
        <f>ROUND(H43*18%,)</f>
        <v>120803</v>
      </c>
      <c r="J43" s="35">
        <f>H43+I43</f>
        <v>791928</v>
      </c>
      <c r="K43" s="35">
        <f>ROUND(H43*$K$6,)</f>
        <v>6711</v>
      </c>
      <c r="L43" s="35">
        <f>ROUND(H43*5%,)</f>
        <v>33556</v>
      </c>
      <c r="M43" s="35">
        <f t="shared" ref="M43" si="14">ROUND(H43*10%,)</f>
        <v>67113</v>
      </c>
      <c r="N43" s="35">
        <f>ROUND(H43*10%,)</f>
        <v>67113</v>
      </c>
      <c r="O43" s="57">
        <f>I43</f>
        <v>120803</v>
      </c>
      <c r="P43" s="35">
        <v>28618</v>
      </c>
      <c r="Q43" s="35">
        <f>ROUND(J43-SUM(K43:P43),)</f>
        <v>468014</v>
      </c>
      <c r="R43" s="36"/>
      <c r="S43" s="35" t="s">
        <v>99</v>
      </c>
      <c r="T43" s="35">
        <v>187599</v>
      </c>
      <c r="U43" s="35">
        <v>0</v>
      </c>
      <c r="V43" s="35">
        <f>T43-U43</f>
        <v>187599</v>
      </c>
      <c r="W43" s="38" t="s">
        <v>98</v>
      </c>
      <c r="X43" s="35"/>
    </row>
    <row r="44" spans="1:24" ht="24.9" customHeight="1" x14ac:dyDescent="0.3">
      <c r="A44" s="2">
        <v>53640</v>
      </c>
      <c r="B44" s="16" t="s">
        <v>63</v>
      </c>
      <c r="C44" s="16"/>
      <c r="D44" s="34">
        <v>4</v>
      </c>
      <c r="E44" s="34"/>
      <c r="F44" s="35">
        <f>O40</f>
        <v>61956</v>
      </c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57">
        <f>F44</f>
        <v>61956</v>
      </c>
      <c r="R44" s="36"/>
      <c r="S44" s="35" t="s">
        <v>100</v>
      </c>
      <c r="T44" s="35">
        <v>129832</v>
      </c>
      <c r="U44" s="35"/>
      <c r="V44" s="35">
        <f>T44-U44</f>
        <v>129832</v>
      </c>
      <c r="W44" s="38" t="s">
        <v>101</v>
      </c>
      <c r="X44" s="35"/>
    </row>
    <row r="45" spans="1:24" ht="24.9" customHeight="1" x14ac:dyDescent="0.3">
      <c r="A45" s="2">
        <v>53640</v>
      </c>
      <c r="B45" s="16" t="s">
        <v>63</v>
      </c>
      <c r="C45" s="16"/>
      <c r="D45" s="34">
        <v>8</v>
      </c>
      <c r="E45" s="34"/>
      <c r="F45" s="35">
        <f>O41+O42</f>
        <v>89253</v>
      </c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57">
        <f>F45</f>
        <v>89253</v>
      </c>
      <c r="R45" s="36"/>
      <c r="S45" s="35" t="s">
        <v>103</v>
      </c>
      <c r="T45" s="35">
        <v>150000</v>
      </c>
      <c r="U45" s="35">
        <f>T45*1%</f>
        <v>1500</v>
      </c>
      <c r="V45" s="35">
        <f>T45-U45</f>
        <v>148500</v>
      </c>
      <c r="W45" s="38" t="s">
        <v>102</v>
      </c>
      <c r="X45" s="35"/>
    </row>
    <row r="46" spans="1:24" ht="24.9" customHeight="1" x14ac:dyDescent="0.3">
      <c r="A46" s="2">
        <v>53640</v>
      </c>
      <c r="B46" s="16" t="s">
        <v>63</v>
      </c>
      <c r="C46" s="16"/>
      <c r="D46" s="34">
        <v>11</v>
      </c>
      <c r="E46" s="34"/>
      <c r="F46" s="35">
        <f>O43</f>
        <v>120803</v>
      </c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57">
        <f>F46</f>
        <v>120803</v>
      </c>
      <c r="R46" s="36"/>
      <c r="S46" s="35" t="s">
        <v>130</v>
      </c>
      <c r="T46" s="35">
        <v>319514</v>
      </c>
      <c r="U46" s="35"/>
      <c r="V46" s="35">
        <f t="shared" ref="V46:V51" si="15">T46-U46</f>
        <v>319514</v>
      </c>
      <c r="W46" s="37" t="s">
        <v>125</v>
      </c>
      <c r="X46" s="35"/>
    </row>
    <row r="47" spans="1:24" ht="24.9" customHeight="1" x14ac:dyDescent="0.3">
      <c r="A47" s="2">
        <v>53640</v>
      </c>
      <c r="B47" s="43" t="s">
        <v>62</v>
      </c>
      <c r="C47" s="16">
        <v>45360</v>
      </c>
      <c r="D47" s="44">
        <v>14</v>
      </c>
      <c r="E47" s="44"/>
      <c r="F47" s="35">
        <v>205283</v>
      </c>
      <c r="G47" s="35">
        <v>19075</v>
      </c>
      <c r="H47" s="35">
        <f>F47-G47</f>
        <v>186208</v>
      </c>
      <c r="I47" s="35">
        <f>ROUND(H47*18%,)</f>
        <v>33517</v>
      </c>
      <c r="J47" s="35">
        <f>H47+I47</f>
        <v>219725</v>
      </c>
      <c r="K47" s="35">
        <f>ROUND(H47*$K$6,)</f>
        <v>1862</v>
      </c>
      <c r="L47" s="35">
        <f>ROUND(H47*5%,)</f>
        <v>9310</v>
      </c>
      <c r="M47" s="35">
        <f t="shared" ref="M47" si="16">ROUND(H47*10%,)</f>
        <v>18621</v>
      </c>
      <c r="N47" s="35">
        <f>ROUND(H47*10%,)</f>
        <v>18621</v>
      </c>
      <c r="O47" s="57">
        <f>I47</f>
        <v>33517</v>
      </c>
      <c r="P47" s="35">
        <v>103330</v>
      </c>
      <c r="Q47" s="35">
        <f>ROUND(J47-SUM(K47:P47),)</f>
        <v>34464</v>
      </c>
      <c r="R47" s="36"/>
      <c r="S47" s="35" t="s">
        <v>132</v>
      </c>
      <c r="T47" s="35">
        <v>61956</v>
      </c>
      <c r="U47" s="35"/>
      <c r="V47" s="35">
        <f t="shared" si="15"/>
        <v>61956</v>
      </c>
      <c r="W47" s="37" t="s">
        <v>126</v>
      </c>
      <c r="X47" s="35"/>
    </row>
    <row r="48" spans="1:24" ht="24.9" customHeight="1" x14ac:dyDescent="0.3">
      <c r="A48" s="2">
        <v>53640</v>
      </c>
      <c r="B48" s="16" t="s">
        <v>63</v>
      </c>
      <c r="C48" s="16"/>
      <c r="D48" s="34">
        <v>14</v>
      </c>
      <c r="E48" s="34"/>
      <c r="F48" s="35">
        <f>O47</f>
        <v>33517</v>
      </c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57">
        <f>F48</f>
        <v>33517</v>
      </c>
      <c r="R48" s="36"/>
      <c r="S48" s="35" t="s">
        <v>131</v>
      </c>
      <c r="T48" s="35">
        <v>150000</v>
      </c>
      <c r="U48" s="35">
        <f>T48*1%</f>
        <v>1500</v>
      </c>
      <c r="V48" s="35">
        <f t="shared" si="15"/>
        <v>148500</v>
      </c>
      <c r="W48" s="37" t="s">
        <v>127</v>
      </c>
      <c r="X48" s="35"/>
    </row>
    <row r="49" spans="1:58" ht="24.9" customHeight="1" x14ac:dyDescent="0.3">
      <c r="A49" s="2">
        <v>53640</v>
      </c>
      <c r="B49" s="43" t="s">
        <v>62</v>
      </c>
      <c r="C49" s="16">
        <v>45594</v>
      </c>
      <c r="D49" s="34">
        <v>12</v>
      </c>
      <c r="E49" s="34"/>
      <c r="F49" s="35">
        <v>907318</v>
      </c>
      <c r="G49" s="35">
        <v>221270</v>
      </c>
      <c r="H49" s="35">
        <f>F49-G49</f>
        <v>686048</v>
      </c>
      <c r="I49" s="35">
        <f>ROUND(H49*18%,)</f>
        <v>123489</v>
      </c>
      <c r="J49" s="35">
        <f>H49+I49</f>
        <v>809537</v>
      </c>
      <c r="K49" s="35">
        <f>ROUND(H49*$K$6,)</f>
        <v>6860</v>
      </c>
      <c r="L49" s="35">
        <f>ROUND(H49*5%,)</f>
        <v>34302</v>
      </c>
      <c r="M49" s="35">
        <f t="shared" ref="M49" si="17">ROUND(H49*10%,)</f>
        <v>68605</v>
      </c>
      <c r="N49" s="35">
        <f>ROUND(H49*10%,)</f>
        <v>68605</v>
      </c>
      <c r="O49" s="57">
        <f>I49</f>
        <v>123489</v>
      </c>
      <c r="P49" s="35"/>
      <c r="Q49" s="35">
        <f>ROUND(J49-SUM(K49:P49),)</f>
        <v>507676</v>
      </c>
      <c r="R49" s="58"/>
      <c r="S49" s="35" t="s">
        <v>133</v>
      </c>
      <c r="T49" s="35">
        <v>89254</v>
      </c>
      <c r="U49" s="35"/>
      <c r="V49" s="35">
        <f t="shared" si="15"/>
        <v>89254</v>
      </c>
      <c r="W49" s="37" t="s">
        <v>128</v>
      </c>
      <c r="X49" s="35"/>
    </row>
    <row r="50" spans="1:58" ht="24.9" customHeight="1" x14ac:dyDescent="0.3">
      <c r="A50" s="2">
        <v>53640</v>
      </c>
      <c r="B50" s="16" t="s">
        <v>63</v>
      </c>
      <c r="C50" s="16"/>
      <c r="D50" s="34">
        <v>12</v>
      </c>
      <c r="E50" s="34"/>
      <c r="F50" s="35">
        <f>O49</f>
        <v>123489</v>
      </c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57">
        <f>F50</f>
        <v>123489</v>
      </c>
      <c r="R50" s="36"/>
      <c r="S50" s="35" t="s">
        <v>145</v>
      </c>
      <c r="T50" s="35">
        <v>120803</v>
      </c>
      <c r="U50" s="35"/>
      <c r="V50" s="35">
        <f t="shared" si="15"/>
        <v>120803</v>
      </c>
      <c r="W50" s="37" t="s">
        <v>144</v>
      </c>
      <c r="X50" s="35"/>
    </row>
    <row r="51" spans="1:58" ht="24.9" customHeight="1" x14ac:dyDescent="0.3">
      <c r="A51" s="2">
        <v>53640</v>
      </c>
      <c r="B51" s="16"/>
      <c r="C51" s="16"/>
      <c r="D51" s="34"/>
      <c r="E51" s="34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6"/>
      <c r="S51" s="35" t="s">
        <v>159</v>
      </c>
      <c r="T51" s="35">
        <v>250000</v>
      </c>
      <c r="U51" s="35">
        <f>T51*1%</f>
        <v>2500</v>
      </c>
      <c r="V51" s="35">
        <f t="shared" si="15"/>
        <v>247500</v>
      </c>
      <c r="W51" s="37" t="s">
        <v>158</v>
      </c>
      <c r="X51" s="35"/>
    </row>
    <row r="52" spans="1:58" ht="24.9" customHeight="1" x14ac:dyDescent="0.3">
      <c r="A52" s="2">
        <v>53640</v>
      </c>
      <c r="B52" s="16"/>
      <c r="C52" s="16"/>
      <c r="D52" s="34"/>
      <c r="E52" s="34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6"/>
      <c r="S52" s="35"/>
      <c r="T52" s="35"/>
      <c r="U52" s="35"/>
      <c r="V52" s="35">
        <v>247500</v>
      </c>
      <c r="W52" s="37" t="s">
        <v>160</v>
      </c>
      <c r="X52" s="35"/>
    </row>
    <row r="53" spans="1:58" ht="24.9" customHeight="1" x14ac:dyDescent="0.3">
      <c r="A53" s="2">
        <v>53640</v>
      </c>
      <c r="B53" s="16"/>
      <c r="C53" s="16"/>
      <c r="D53" s="34"/>
      <c r="E53" s="34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6"/>
      <c r="S53" s="35"/>
      <c r="T53" s="35"/>
      <c r="U53" s="35"/>
      <c r="V53" s="35">
        <v>198000</v>
      </c>
      <c r="W53" s="37" t="s">
        <v>161</v>
      </c>
      <c r="X53" s="35"/>
    </row>
    <row r="54" spans="1:58" ht="24.9" customHeight="1" x14ac:dyDescent="0.3">
      <c r="A54" s="2">
        <v>53640</v>
      </c>
      <c r="B54" s="16"/>
      <c r="C54" s="16"/>
      <c r="D54" s="34"/>
      <c r="E54" s="34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6"/>
      <c r="S54" s="35"/>
      <c r="T54" s="35"/>
      <c r="U54" s="35"/>
      <c r="V54" s="35">
        <v>198000</v>
      </c>
      <c r="W54" s="37" t="s">
        <v>163</v>
      </c>
      <c r="X54" s="35"/>
    </row>
    <row r="55" spans="1:58" s="26" customFormat="1" ht="24.9" customHeight="1" x14ac:dyDescent="0.3">
      <c r="B55" s="40"/>
      <c r="C55" s="40"/>
      <c r="D55" s="41"/>
      <c r="E55" s="41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1">
        <v>51737</v>
      </c>
      <c r="S55" s="32"/>
      <c r="T55" s="32"/>
      <c r="U55" s="32"/>
      <c r="V55" s="32"/>
      <c r="W55" s="42"/>
      <c r="X55" s="3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</row>
    <row r="56" spans="1:58" ht="24.9" customHeight="1" x14ac:dyDescent="0.3">
      <c r="A56" s="2">
        <v>51737</v>
      </c>
      <c r="B56" s="16" t="s">
        <v>64</v>
      </c>
      <c r="C56" s="16">
        <v>44824</v>
      </c>
      <c r="D56" s="34">
        <v>1</v>
      </c>
      <c r="E56" s="34"/>
      <c r="F56" s="35">
        <v>2107070.25</v>
      </c>
      <c r="G56" s="35">
        <v>54041.999999999993</v>
      </c>
      <c r="H56" s="35">
        <v>2053028.25</v>
      </c>
      <c r="I56" s="35">
        <v>369545</v>
      </c>
      <c r="J56" s="35">
        <v>2422573.25</v>
      </c>
      <c r="K56" s="35">
        <f>H56*1%</f>
        <v>20530.282500000001</v>
      </c>
      <c r="L56" s="35">
        <f>H56*10%</f>
        <v>205302.82500000001</v>
      </c>
      <c r="M56" s="35"/>
      <c r="N56" s="35">
        <f>H56*10%</f>
        <v>205302.82500000001</v>
      </c>
      <c r="O56" s="57">
        <f>I56</f>
        <v>369545</v>
      </c>
      <c r="P56" s="35">
        <v>314949</v>
      </c>
      <c r="Q56" s="35">
        <f>H56-K56-L56-M56-N56-P56</f>
        <v>1306943.3175000001</v>
      </c>
      <c r="R56" s="36"/>
      <c r="S56" s="35" t="s">
        <v>65</v>
      </c>
      <c r="T56" s="35">
        <v>200000</v>
      </c>
      <c r="U56" s="35">
        <f t="shared" ref="U56:U59" si="18">T56*1%</f>
        <v>2000</v>
      </c>
      <c r="V56" s="35">
        <f>T56-U56</f>
        <v>198000</v>
      </c>
      <c r="W56" s="37" t="s">
        <v>66</v>
      </c>
      <c r="X56" s="35">
        <f>SUM(Q56:Q77)-SUM(V56:V77)</f>
        <v>-823659.36449999968</v>
      </c>
    </row>
    <row r="57" spans="1:58" ht="24.9" customHeight="1" x14ac:dyDescent="0.3">
      <c r="A57" s="2">
        <v>51737</v>
      </c>
      <c r="B57" s="16" t="s">
        <v>64</v>
      </c>
      <c r="C57" s="16">
        <v>44847</v>
      </c>
      <c r="D57" s="34">
        <v>2</v>
      </c>
      <c r="E57" s="34"/>
      <c r="F57" s="35">
        <v>231800.2</v>
      </c>
      <c r="G57" s="35">
        <v>0</v>
      </c>
      <c r="H57" s="35">
        <v>231800.2</v>
      </c>
      <c r="I57" s="35">
        <v>41724</v>
      </c>
      <c r="J57" s="35">
        <v>273524.2</v>
      </c>
      <c r="K57" s="35">
        <f>H57*1%</f>
        <v>2318.002</v>
      </c>
      <c r="L57" s="35">
        <f>H57*10%</f>
        <v>23180.020000000004</v>
      </c>
      <c r="M57" s="35"/>
      <c r="N57" s="35">
        <f>H57*10%</f>
        <v>23180.020000000004</v>
      </c>
      <c r="O57" s="57">
        <f>I57</f>
        <v>41724</v>
      </c>
      <c r="P57" s="35"/>
      <c r="Q57" s="35">
        <f>H57-K57-L57-M57-N57-P57</f>
        <v>183122.158</v>
      </c>
      <c r="R57" s="36"/>
      <c r="S57" s="35" t="s">
        <v>67</v>
      </c>
      <c r="T57" s="35">
        <v>200000</v>
      </c>
      <c r="U57" s="35">
        <f t="shared" si="18"/>
        <v>2000</v>
      </c>
      <c r="V57" s="35">
        <f t="shared" ref="V57:V69" si="19">T57-U57</f>
        <v>198000</v>
      </c>
      <c r="W57" s="37" t="s">
        <v>68</v>
      </c>
      <c r="X57" s="35"/>
    </row>
    <row r="58" spans="1:58" ht="24.9" customHeight="1" x14ac:dyDescent="0.3">
      <c r="A58" s="2">
        <v>51737</v>
      </c>
      <c r="B58" s="16" t="s">
        <v>63</v>
      </c>
      <c r="C58" s="16"/>
      <c r="D58" s="34">
        <v>1</v>
      </c>
      <c r="E58" s="34"/>
      <c r="F58" s="35">
        <v>369545</v>
      </c>
      <c r="G58" s="35">
        <v>0</v>
      </c>
      <c r="H58" s="35">
        <v>369545</v>
      </c>
      <c r="I58" s="35">
        <v>0</v>
      </c>
      <c r="J58" s="35">
        <v>369545</v>
      </c>
      <c r="K58" s="35">
        <v>0</v>
      </c>
      <c r="L58" s="35"/>
      <c r="M58" s="35"/>
      <c r="N58" s="35"/>
      <c r="O58" s="35"/>
      <c r="P58" s="35"/>
      <c r="Q58" s="57">
        <v>369545</v>
      </c>
      <c r="R58" s="36"/>
      <c r="S58" s="35" t="s">
        <v>69</v>
      </c>
      <c r="T58" s="35">
        <v>150000</v>
      </c>
      <c r="U58" s="35">
        <f t="shared" si="18"/>
        <v>1500</v>
      </c>
      <c r="V58" s="35">
        <f t="shared" si="19"/>
        <v>148500</v>
      </c>
      <c r="W58" s="37" t="s">
        <v>70</v>
      </c>
      <c r="X58" s="35"/>
    </row>
    <row r="59" spans="1:58" ht="24.9" customHeight="1" x14ac:dyDescent="0.3">
      <c r="A59" s="2">
        <v>51737</v>
      </c>
      <c r="B59" s="16" t="s">
        <v>63</v>
      </c>
      <c r="C59" s="16"/>
      <c r="D59" s="34">
        <v>2</v>
      </c>
      <c r="E59" s="34"/>
      <c r="F59" s="35">
        <v>41724</v>
      </c>
      <c r="G59" s="35">
        <v>0</v>
      </c>
      <c r="H59" s="35">
        <v>41724</v>
      </c>
      <c r="I59" s="35">
        <v>0</v>
      </c>
      <c r="J59" s="35">
        <v>41724</v>
      </c>
      <c r="K59" s="35">
        <v>0</v>
      </c>
      <c r="L59" s="35">
        <v>0</v>
      </c>
      <c r="M59" s="35"/>
      <c r="N59" s="35"/>
      <c r="O59" s="35"/>
      <c r="P59" s="35">
        <v>0</v>
      </c>
      <c r="Q59" s="57">
        <v>41724</v>
      </c>
      <c r="R59" s="36"/>
      <c r="S59" s="35" t="s">
        <v>71</v>
      </c>
      <c r="T59" s="35">
        <v>600000</v>
      </c>
      <c r="U59" s="35">
        <f t="shared" si="18"/>
        <v>6000</v>
      </c>
      <c r="V59" s="35">
        <f t="shared" si="19"/>
        <v>594000</v>
      </c>
      <c r="W59" s="37" t="s">
        <v>72</v>
      </c>
      <c r="X59" s="35"/>
    </row>
    <row r="60" spans="1:58" ht="24.9" customHeight="1" x14ac:dyDescent="0.3">
      <c r="A60" s="2">
        <v>51737</v>
      </c>
      <c r="B60" s="16" t="s">
        <v>64</v>
      </c>
      <c r="C60" s="16">
        <v>45218</v>
      </c>
      <c r="D60" s="34">
        <v>10</v>
      </c>
      <c r="E60" s="34"/>
      <c r="F60" s="35">
        <v>270086</v>
      </c>
      <c r="G60" s="35">
        <v>0</v>
      </c>
      <c r="H60" s="35">
        <f>F60-G60</f>
        <v>270086</v>
      </c>
      <c r="I60" s="35">
        <f>H60*18%</f>
        <v>48615.479999999996</v>
      </c>
      <c r="J60" s="35">
        <f>H60+I60</f>
        <v>318701.48</v>
      </c>
      <c r="K60" s="35">
        <f>H60*1%</f>
        <v>2700.86</v>
      </c>
      <c r="L60" s="35">
        <f>H60*5%</f>
        <v>13504.300000000001</v>
      </c>
      <c r="M60" s="35">
        <f>H60*10%</f>
        <v>27008.600000000002</v>
      </c>
      <c r="N60" s="35">
        <f>H60*10%</f>
        <v>27008.600000000002</v>
      </c>
      <c r="O60" s="57">
        <f>I60</f>
        <v>48615.479999999996</v>
      </c>
      <c r="P60" s="35">
        <v>0</v>
      </c>
      <c r="Q60" s="35">
        <f>H60-K60-L60-M60-N60</f>
        <v>199863.64</v>
      </c>
      <c r="R60" s="36"/>
      <c r="S60" s="35" t="s">
        <v>73</v>
      </c>
      <c r="T60" s="35">
        <v>300000</v>
      </c>
      <c r="U60" s="35">
        <f>T60*1%</f>
        <v>3000</v>
      </c>
      <c r="V60" s="35">
        <f t="shared" si="19"/>
        <v>297000</v>
      </c>
      <c r="W60" s="37" t="s">
        <v>74</v>
      </c>
      <c r="X60" s="35"/>
    </row>
    <row r="61" spans="1:58" ht="24.9" customHeight="1" x14ac:dyDescent="0.3">
      <c r="A61" s="2">
        <v>51737</v>
      </c>
      <c r="B61" s="16" t="s">
        <v>64</v>
      </c>
      <c r="C61" s="16">
        <v>45231</v>
      </c>
      <c r="D61" s="34">
        <v>12</v>
      </c>
      <c r="E61" s="34"/>
      <c r="F61" s="35">
        <v>316012</v>
      </c>
      <c r="G61" s="35">
        <v>0</v>
      </c>
      <c r="H61" s="35">
        <v>316012</v>
      </c>
      <c r="I61" s="35">
        <f>H61*18%</f>
        <v>56882.159999999996</v>
      </c>
      <c r="J61" s="35">
        <f>H61+I61</f>
        <v>372894.16</v>
      </c>
      <c r="K61" s="35">
        <f>H61*1%</f>
        <v>3160.12</v>
      </c>
      <c r="L61" s="35">
        <f>H61*5%</f>
        <v>15800.6</v>
      </c>
      <c r="M61" s="35">
        <f>H61*10%</f>
        <v>31601.200000000001</v>
      </c>
      <c r="N61" s="35">
        <f>H61*10%</f>
        <v>31601.200000000001</v>
      </c>
      <c r="O61" s="57">
        <f>I61</f>
        <v>56882.159999999996</v>
      </c>
      <c r="P61" s="35">
        <v>0</v>
      </c>
      <c r="Q61" s="35">
        <f>H61-K61-L61-M61-N61</f>
        <v>233848.88</v>
      </c>
      <c r="R61" s="36"/>
      <c r="S61" s="35" t="s">
        <v>75</v>
      </c>
      <c r="T61" s="35">
        <v>54565</v>
      </c>
      <c r="U61" s="35">
        <v>0</v>
      </c>
      <c r="V61" s="35">
        <f t="shared" si="19"/>
        <v>54565</v>
      </c>
      <c r="W61" s="37" t="s">
        <v>76</v>
      </c>
      <c r="X61" s="35"/>
    </row>
    <row r="62" spans="1:58" ht="24.9" customHeight="1" x14ac:dyDescent="0.3">
      <c r="A62" s="2">
        <v>51737</v>
      </c>
      <c r="B62" s="16" t="s">
        <v>63</v>
      </c>
      <c r="C62" s="16"/>
      <c r="D62" s="34">
        <v>10</v>
      </c>
      <c r="E62" s="34"/>
      <c r="F62" s="35">
        <f>O60</f>
        <v>48615.479999999996</v>
      </c>
      <c r="G62" s="35">
        <v>0</v>
      </c>
      <c r="H62" s="35"/>
      <c r="I62" s="35">
        <v>0</v>
      </c>
      <c r="J62" s="35"/>
      <c r="K62" s="35">
        <v>0</v>
      </c>
      <c r="L62" s="35">
        <v>0</v>
      </c>
      <c r="M62" s="35"/>
      <c r="N62" s="35"/>
      <c r="O62" s="35"/>
      <c r="P62" s="35">
        <v>0</v>
      </c>
      <c r="Q62" s="57">
        <f>F62</f>
        <v>48615.479999999996</v>
      </c>
      <c r="R62" s="36"/>
      <c r="S62" s="35" t="s">
        <v>77</v>
      </c>
      <c r="T62" s="35">
        <v>200000</v>
      </c>
      <c r="U62" s="35">
        <v>0</v>
      </c>
      <c r="V62" s="35">
        <f>T62-U62</f>
        <v>200000</v>
      </c>
      <c r="W62" s="37" t="s">
        <v>78</v>
      </c>
      <c r="X62" s="35"/>
    </row>
    <row r="63" spans="1:58" ht="24.9" customHeight="1" x14ac:dyDescent="0.3">
      <c r="A63" s="2">
        <v>51737</v>
      </c>
      <c r="B63" s="16" t="s">
        <v>63</v>
      </c>
      <c r="C63" s="16"/>
      <c r="D63" s="34">
        <v>12</v>
      </c>
      <c r="E63" s="34"/>
      <c r="F63" s="35">
        <f>O61</f>
        <v>56882.159999999996</v>
      </c>
      <c r="G63" s="35">
        <v>0</v>
      </c>
      <c r="H63" s="35"/>
      <c r="I63" s="35">
        <v>0</v>
      </c>
      <c r="J63" s="35"/>
      <c r="K63" s="35">
        <v>0</v>
      </c>
      <c r="L63" s="35">
        <v>0</v>
      </c>
      <c r="M63" s="35"/>
      <c r="N63" s="35"/>
      <c r="O63" s="35"/>
      <c r="P63" s="35">
        <v>0</v>
      </c>
      <c r="Q63" s="57">
        <f>F63</f>
        <v>56882.159999999996</v>
      </c>
      <c r="R63" s="36"/>
      <c r="S63" s="35" t="s">
        <v>79</v>
      </c>
      <c r="T63" s="35">
        <v>369545</v>
      </c>
      <c r="U63" s="35"/>
      <c r="V63" s="35">
        <f t="shared" si="19"/>
        <v>369545</v>
      </c>
      <c r="W63" s="37" t="s">
        <v>80</v>
      </c>
      <c r="X63" s="35"/>
    </row>
    <row r="64" spans="1:58" ht="24.9" customHeight="1" x14ac:dyDescent="0.3">
      <c r="A64" s="2">
        <v>51737</v>
      </c>
      <c r="B64" s="16"/>
      <c r="C64" s="16"/>
      <c r="D64" s="34"/>
      <c r="E64" s="34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6"/>
      <c r="S64" s="35" t="s">
        <v>81</v>
      </c>
      <c r="T64" s="35">
        <v>41724</v>
      </c>
      <c r="U64" s="35"/>
      <c r="V64" s="35">
        <f t="shared" si="19"/>
        <v>41724</v>
      </c>
      <c r="W64" s="37" t="s">
        <v>82</v>
      </c>
      <c r="X64" s="35"/>
    </row>
    <row r="65" spans="1:58" ht="24.9" customHeight="1" x14ac:dyDescent="0.3">
      <c r="A65" s="2">
        <v>51737</v>
      </c>
      <c r="B65" s="16"/>
      <c r="C65" s="16"/>
      <c r="D65" s="34"/>
      <c r="E65" s="34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6"/>
      <c r="S65" s="35" t="s">
        <v>83</v>
      </c>
      <c r="T65" s="35">
        <v>50000</v>
      </c>
      <c r="U65" s="35">
        <f>T65*1%</f>
        <v>500</v>
      </c>
      <c r="V65" s="35">
        <f t="shared" si="19"/>
        <v>49500</v>
      </c>
      <c r="W65" s="37" t="s">
        <v>84</v>
      </c>
      <c r="X65" s="35"/>
    </row>
    <row r="66" spans="1:58" ht="24.9" customHeight="1" x14ac:dyDescent="0.3">
      <c r="A66" s="2">
        <v>51737</v>
      </c>
      <c r="B66" s="16"/>
      <c r="C66" s="16"/>
      <c r="D66" s="34"/>
      <c r="E66" s="34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6"/>
      <c r="S66" s="11" t="s">
        <v>111</v>
      </c>
      <c r="T66" s="35">
        <v>150000</v>
      </c>
      <c r="U66" s="35">
        <f t="shared" ref="U66:U68" si="20">T66*1%</f>
        <v>1500</v>
      </c>
      <c r="V66" s="35">
        <f t="shared" si="19"/>
        <v>148500</v>
      </c>
      <c r="W66" s="37" t="s">
        <v>109</v>
      </c>
      <c r="X66" s="35"/>
    </row>
    <row r="67" spans="1:58" ht="24.9" customHeight="1" x14ac:dyDescent="0.3">
      <c r="A67" s="2">
        <v>51737</v>
      </c>
      <c r="B67" s="16"/>
      <c r="C67" s="16"/>
      <c r="D67" s="34"/>
      <c r="E67" s="34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6"/>
      <c r="S67" s="11" t="s">
        <v>112</v>
      </c>
      <c r="T67" s="35">
        <v>120000</v>
      </c>
      <c r="U67" s="35">
        <f t="shared" si="20"/>
        <v>1200</v>
      </c>
      <c r="V67" s="35">
        <f t="shared" si="19"/>
        <v>118800</v>
      </c>
      <c r="W67" s="37" t="s">
        <v>110</v>
      </c>
      <c r="X67" s="35"/>
    </row>
    <row r="68" spans="1:58" ht="24.9" customHeight="1" x14ac:dyDescent="0.3">
      <c r="A68" s="2">
        <v>51737</v>
      </c>
      <c r="B68" s="16"/>
      <c r="C68" s="16"/>
      <c r="D68" s="34"/>
      <c r="E68" s="34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6"/>
      <c r="S68" s="35" t="s">
        <v>114</v>
      </c>
      <c r="T68" s="35">
        <v>100000</v>
      </c>
      <c r="U68" s="35">
        <f t="shared" si="20"/>
        <v>1000</v>
      </c>
      <c r="V68" s="35">
        <f t="shared" si="19"/>
        <v>99000</v>
      </c>
      <c r="W68" s="37" t="s">
        <v>113</v>
      </c>
      <c r="X68" s="35"/>
    </row>
    <row r="69" spans="1:58" ht="24.9" customHeight="1" x14ac:dyDescent="0.3">
      <c r="A69" s="2">
        <v>51737</v>
      </c>
      <c r="B69" s="16"/>
      <c r="C69" s="16"/>
      <c r="D69" s="34"/>
      <c r="E69" s="34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6"/>
      <c r="S69" s="11" t="s">
        <v>138</v>
      </c>
      <c r="T69" s="35">
        <v>17873</v>
      </c>
      <c r="U69" s="35"/>
      <c r="V69" s="35">
        <f t="shared" si="19"/>
        <v>17873</v>
      </c>
      <c r="W69" s="37" t="s">
        <v>137</v>
      </c>
      <c r="X69" s="35"/>
    </row>
    <row r="70" spans="1:58" ht="24.9" customHeight="1" x14ac:dyDescent="0.3">
      <c r="A70" s="2">
        <v>51737</v>
      </c>
      <c r="B70" s="16"/>
      <c r="C70" s="16"/>
      <c r="D70" s="34"/>
      <c r="E70" s="34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6"/>
      <c r="S70" s="35" t="s">
        <v>139</v>
      </c>
      <c r="T70" s="35">
        <v>48615</v>
      </c>
      <c r="U70" s="35"/>
      <c r="V70" s="35">
        <f t="shared" ref="V70:V71" si="21">T70-U70</f>
        <v>48615</v>
      </c>
      <c r="W70" s="38" t="s">
        <v>136</v>
      </c>
      <c r="X70" s="35"/>
    </row>
    <row r="71" spans="1:58" ht="24.9" customHeight="1" x14ac:dyDescent="0.3">
      <c r="A71" s="2">
        <v>51737</v>
      </c>
      <c r="B71" s="16"/>
      <c r="C71" s="16"/>
      <c r="D71" s="34"/>
      <c r="E71" s="34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6"/>
      <c r="S71" s="35" t="s">
        <v>147</v>
      </c>
      <c r="T71" s="35">
        <v>80000</v>
      </c>
      <c r="U71" s="35">
        <f t="shared" ref="U71" si="22">T71*1%</f>
        <v>800</v>
      </c>
      <c r="V71" s="35">
        <f t="shared" si="21"/>
        <v>79200</v>
      </c>
      <c r="W71" s="38" t="s">
        <v>146</v>
      </c>
      <c r="X71" s="35"/>
    </row>
    <row r="72" spans="1:58" ht="24.9" customHeight="1" x14ac:dyDescent="0.3">
      <c r="A72" s="2">
        <v>51737</v>
      </c>
      <c r="B72" s="16"/>
      <c r="C72" s="16"/>
      <c r="D72" s="34"/>
      <c r="E72" s="34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6"/>
      <c r="S72" s="35"/>
      <c r="T72" s="35"/>
      <c r="U72" s="35"/>
      <c r="V72" s="35">
        <v>56882</v>
      </c>
      <c r="W72" s="38" t="s">
        <v>150</v>
      </c>
      <c r="X72" s="35"/>
    </row>
    <row r="73" spans="1:58" ht="24.9" customHeight="1" x14ac:dyDescent="0.3">
      <c r="A73" s="2">
        <v>51737</v>
      </c>
      <c r="B73" s="16"/>
      <c r="C73" s="16"/>
      <c r="D73" s="34"/>
      <c r="E73" s="34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6"/>
      <c r="S73" s="35"/>
      <c r="T73" s="35"/>
      <c r="U73" s="35"/>
      <c r="V73" s="35">
        <v>99000</v>
      </c>
      <c r="W73" s="38" t="s">
        <v>152</v>
      </c>
      <c r="X73" s="35"/>
    </row>
    <row r="74" spans="1:58" ht="24.9" customHeight="1" x14ac:dyDescent="0.3">
      <c r="A74" s="2">
        <v>51737</v>
      </c>
      <c r="B74" s="16"/>
      <c r="C74" s="16"/>
      <c r="D74" s="34"/>
      <c r="E74" s="34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6"/>
      <c r="S74" s="35"/>
      <c r="T74" s="35"/>
      <c r="U74" s="35"/>
      <c r="V74" s="35">
        <v>74250</v>
      </c>
      <c r="W74" s="38" t="s">
        <v>154</v>
      </c>
      <c r="X74" s="35"/>
    </row>
    <row r="75" spans="1:58" ht="24.9" customHeight="1" x14ac:dyDescent="0.3">
      <c r="A75" s="2">
        <v>51737</v>
      </c>
      <c r="B75" s="16"/>
      <c r="C75" s="16"/>
      <c r="D75" s="34"/>
      <c r="E75" s="34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6"/>
      <c r="S75" s="35"/>
      <c r="T75" s="35"/>
      <c r="U75" s="35"/>
      <c r="V75" s="35">
        <v>74250</v>
      </c>
      <c r="W75" s="38" t="s">
        <v>155</v>
      </c>
      <c r="X75" s="35"/>
    </row>
    <row r="76" spans="1:58" ht="24.9" customHeight="1" x14ac:dyDescent="0.3">
      <c r="A76" s="2">
        <v>51737</v>
      </c>
      <c r="B76" s="16"/>
      <c r="C76" s="16"/>
      <c r="D76" s="34"/>
      <c r="E76" s="34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6"/>
      <c r="S76" s="35"/>
      <c r="T76" s="35"/>
      <c r="U76" s="35"/>
      <c r="V76" s="35">
        <v>99000</v>
      </c>
      <c r="W76" s="38" t="s">
        <v>157</v>
      </c>
      <c r="X76" s="35"/>
    </row>
    <row r="77" spans="1:58" ht="24.9" customHeight="1" x14ac:dyDescent="0.3">
      <c r="A77" s="2">
        <v>51737</v>
      </c>
      <c r="B77" s="16"/>
      <c r="C77" s="16"/>
      <c r="D77" s="34"/>
      <c r="E77" s="34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6"/>
      <c r="S77" s="35"/>
      <c r="T77" s="35"/>
      <c r="U77" s="35"/>
      <c r="V77" s="35">
        <v>198000</v>
      </c>
      <c r="W77" s="38" t="s">
        <v>162</v>
      </c>
      <c r="X77" s="35"/>
    </row>
    <row r="78" spans="1:58" s="26" customFormat="1" ht="24.9" customHeight="1" x14ac:dyDescent="0.3">
      <c r="A78" s="26">
        <v>62993</v>
      </c>
      <c r="B78" s="40"/>
      <c r="C78" s="40"/>
      <c r="D78" s="41"/>
      <c r="E78" s="41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1">
        <v>62993</v>
      </c>
      <c r="S78" s="32"/>
      <c r="T78" s="32"/>
      <c r="U78" s="32"/>
      <c r="V78" s="32"/>
      <c r="W78" s="42"/>
      <c r="X78" s="3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</row>
    <row r="79" spans="1:58" ht="24.9" customHeight="1" x14ac:dyDescent="0.3">
      <c r="A79" s="26">
        <v>62993</v>
      </c>
      <c r="B79" s="16" t="s">
        <v>186</v>
      </c>
      <c r="C79" s="16">
        <v>45363</v>
      </c>
      <c r="D79" s="34">
        <v>15</v>
      </c>
      <c r="E79" s="34"/>
      <c r="F79" s="35">
        <v>260280</v>
      </c>
      <c r="G79" s="35"/>
      <c r="H79" s="35">
        <f>F79-G79</f>
        <v>260280</v>
      </c>
      <c r="I79" s="35">
        <f>H79*18%</f>
        <v>46850.400000000001</v>
      </c>
      <c r="J79" s="35">
        <f>H79+I79</f>
        <v>307130.40000000002</v>
      </c>
      <c r="K79" s="35">
        <f>H79*1%</f>
        <v>2602.8000000000002</v>
      </c>
      <c r="L79" s="35">
        <f>H79*5%</f>
        <v>13014</v>
      </c>
      <c r="M79" s="35">
        <f>H79*10%</f>
        <v>26028</v>
      </c>
      <c r="N79" s="35">
        <f>H79*10%</f>
        <v>26028</v>
      </c>
      <c r="O79" s="57">
        <f>I79</f>
        <v>46850.400000000001</v>
      </c>
      <c r="P79" s="35">
        <v>8870</v>
      </c>
      <c r="Q79" s="35">
        <f>J79-SUM(K79:P79)</f>
        <v>183737.2</v>
      </c>
      <c r="R79" s="36"/>
      <c r="S79" s="35"/>
      <c r="T79" s="35"/>
      <c r="U79" s="35"/>
      <c r="V79" s="35">
        <v>183737</v>
      </c>
      <c r="W79" s="38" t="s">
        <v>151</v>
      </c>
      <c r="X79" s="35">
        <f>SUM(Q79:Q81)-SUM(V79:V81)</f>
        <v>46850.600000000006</v>
      </c>
    </row>
    <row r="80" spans="1:58" ht="24.9" customHeight="1" x14ac:dyDescent="0.3">
      <c r="A80" s="26">
        <v>62993</v>
      </c>
      <c r="B80" s="16" t="s">
        <v>63</v>
      </c>
      <c r="C80" s="16"/>
      <c r="D80" s="34">
        <v>15</v>
      </c>
      <c r="E80" s="34"/>
      <c r="F80" s="35">
        <f>O79</f>
        <v>46850.400000000001</v>
      </c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57">
        <f>F80</f>
        <v>46850.400000000001</v>
      </c>
      <c r="R80" s="36"/>
      <c r="S80" s="35"/>
      <c r="T80" s="35"/>
      <c r="U80" s="35"/>
      <c r="V80" s="35"/>
      <c r="W80" s="38"/>
      <c r="X80" s="35"/>
    </row>
    <row r="81" spans="1:58" ht="24.9" customHeight="1" x14ac:dyDescent="0.3">
      <c r="A81" s="26">
        <v>62993</v>
      </c>
      <c r="B81" s="16"/>
      <c r="C81" s="16"/>
      <c r="D81" s="34"/>
      <c r="E81" s="34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6"/>
      <c r="S81" s="35"/>
      <c r="T81" s="35"/>
      <c r="U81" s="35"/>
      <c r="V81" s="35"/>
      <c r="W81" s="38"/>
      <c r="X81" s="35"/>
    </row>
    <row r="82" spans="1:58" s="26" customFormat="1" ht="24.9" customHeight="1" x14ac:dyDescent="0.3">
      <c r="B82" s="40"/>
      <c r="C82" s="40"/>
      <c r="D82" s="41"/>
      <c r="E82" s="41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1"/>
      <c r="S82" s="32"/>
      <c r="T82" s="32"/>
      <c r="U82" s="32"/>
      <c r="V82" s="32"/>
      <c r="W82" s="42"/>
      <c r="X82" s="3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</row>
    <row r="83" spans="1:58" ht="24.9" customHeight="1" x14ac:dyDescent="0.3">
      <c r="B83" s="16"/>
      <c r="C83" s="16"/>
      <c r="D83" s="34"/>
      <c r="E83" s="34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6"/>
      <c r="S83" s="35"/>
      <c r="T83" s="35"/>
      <c r="U83" s="35"/>
      <c r="V83" s="35"/>
      <c r="W83" s="38"/>
      <c r="X83" s="35"/>
    </row>
    <row r="84" spans="1:58" ht="24.9" customHeight="1" thickBot="1" x14ac:dyDescent="0.35">
      <c r="B84" s="16"/>
      <c r="C84" s="16"/>
      <c r="D84" s="34"/>
      <c r="E84" s="34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6"/>
      <c r="S84" s="35"/>
      <c r="T84" s="35"/>
      <c r="U84" s="35"/>
      <c r="V84" s="35"/>
      <c r="W84" s="38"/>
      <c r="X84" s="35"/>
    </row>
    <row r="85" spans="1:58" ht="24.9" customHeight="1" x14ac:dyDescent="0.3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29"/>
      <c r="S85" s="30"/>
      <c r="T85" s="30"/>
      <c r="U85" s="30"/>
      <c r="V85" s="30"/>
      <c r="W85" s="30"/>
      <c r="X85" s="30"/>
    </row>
    <row r="86" spans="1:58" ht="24.9" customHeight="1" x14ac:dyDescent="0.3"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45">
        <f t="shared" ref="L86:P86" si="23">SUM(L8:L84)</f>
        <v>650780.39500000014</v>
      </c>
      <c r="M86" s="45">
        <f t="shared" si="23"/>
        <v>811496.1</v>
      </c>
      <c r="N86" s="45">
        <f t="shared" si="23"/>
        <v>1010045.6449999999</v>
      </c>
      <c r="O86" s="45">
        <f t="shared" si="23"/>
        <v>1931540.9799999997</v>
      </c>
      <c r="P86" s="45">
        <f t="shared" si="23"/>
        <v>601918</v>
      </c>
      <c r="Q86" s="45">
        <f>SUM(Q8:Q84)</f>
        <v>9480777.8955000006</v>
      </c>
      <c r="R86" s="11"/>
      <c r="S86" s="45" t="s">
        <v>6</v>
      </c>
      <c r="T86" s="35"/>
      <c r="U86" s="35"/>
      <c r="V86" s="45">
        <f>SUM(V6:V84)</f>
        <v>10667010</v>
      </c>
      <c r="W86" s="35"/>
      <c r="X86" s="45">
        <f>SUM(X7:X85)</f>
        <v>-1186232.1044999999</v>
      </c>
    </row>
    <row r="87" spans="1:58" ht="24.9" customHeight="1" x14ac:dyDescent="0.3"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11"/>
      <c r="S87" s="35"/>
      <c r="T87" s="35"/>
      <c r="U87" s="35"/>
      <c r="V87" s="35"/>
      <c r="W87" s="35"/>
      <c r="X87" s="35"/>
    </row>
    <row r="88" spans="1:58" ht="24.9" customHeight="1" x14ac:dyDescent="0.3">
      <c r="B88" s="35"/>
      <c r="C88" s="35"/>
      <c r="D88" s="35"/>
      <c r="E88" s="35"/>
      <c r="F88" s="35"/>
      <c r="G88" s="35"/>
      <c r="H88" s="35"/>
      <c r="I88" s="35"/>
      <c r="J88" s="35"/>
      <c r="K88" s="45"/>
      <c r="L88" s="45"/>
      <c r="M88" s="45"/>
      <c r="N88" s="45"/>
      <c r="O88" s="45"/>
      <c r="P88" s="45"/>
      <c r="Q88" s="35"/>
      <c r="R88" s="11"/>
      <c r="S88" s="45" t="s">
        <v>7</v>
      </c>
      <c r="T88" s="35"/>
      <c r="U88" s="35"/>
      <c r="V88" s="45">
        <f>Q86-V86</f>
        <v>-1186232.1044999994</v>
      </c>
      <c r="W88" s="35"/>
      <c r="X88" s="45"/>
    </row>
    <row r="89" spans="1:58" ht="24.9" customHeight="1" thickBot="1" x14ac:dyDescent="0.35"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46"/>
      <c r="S89" s="15"/>
      <c r="T89" s="15"/>
      <c r="U89" s="15"/>
      <c r="V89" s="15"/>
      <c r="W89" s="15"/>
      <c r="X89" s="15"/>
    </row>
    <row r="91" spans="1:58" ht="24.9" customHeight="1" thickBot="1" x14ac:dyDescent="0.35"/>
    <row r="92" spans="1:58" ht="24.9" customHeight="1" thickBot="1" x14ac:dyDescent="0.35">
      <c r="J92" s="69" t="s">
        <v>9</v>
      </c>
      <c r="K92" s="70"/>
      <c r="L92" s="70"/>
      <c r="M92" s="71"/>
    </row>
    <row r="93" spans="1:58" ht="24.9" customHeight="1" thickBot="1" x14ac:dyDescent="0.35">
      <c r="J93" s="75">
        <v>45736</v>
      </c>
      <c r="K93" s="76"/>
      <c r="L93" s="76"/>
      <c r="M93" s="77"/>
    </row>
    <row r="94" spans="1:58" ht="24.9" customHeight="1" x14ac:dyDescent="0.3">
      <c r="J94" s="78" t="s">
        <v>140</v>
      </c>
      <c r="K94" s="79"/>
      <c r="L94" s="78">
        <f>L86+M86+N86</f>
        <v>2472322.14</v>
      </c>
      <c r="M94" s="80"/>
    </row>
    <row r="95" spans="1:58" ht="18" x14ac:dyDescent="0.3">
      <c r="J95" s="81" t="s">
        <v>141</v>
      </c>
      <c r="K95" s="82"/>
      <c r="L95" s="81">
        <f>V88</f>
        <v>-1186232.1044999994</v>
      </c>
      <c r="M95" s="83"/>
    </row>
    <row r="96" spans="1:58" ht="35.25" customHeight="1" x14ac:dyDescent="0.3">
      <c r="J96" s="87" t="s">
        <v>8</v>
      </c>
      <c r="K96" s="88"/>
      <c r="L96" s="81">
        <f>P86</f>
        <v>601918</v>
      </c>
      <c r="M96" s="83"/>
    </row>
    <row r="97" spans="4:15" ht="24.9" customHeight="1" thickBot="1" x14ac:dyDescent="0.35">
      <c r="J97" s="84" t="s">
        <v>4</v>
      </c>
      <c r="K97" s="85"/>
      <c r="L97" s="84">
        <v>-123987</v>
      </c>
      <c r="M97" s="86"/>
    </row>
    <row r="98" spans="4:15" ht="24.9" customHeight="1" thickBot="1" x14ac:dyDescent="0.35">
      <c r="J98" s="84" t="s">
        <v>148</v>
      </c>
      <c r="K98" s="85"/>
      <c r="L98" s="84" t="s">
        <v>164</v>
      </c>
      <c r="M98" s="86"/>
    </row>
    <row r="106" spans="4:15" ht="24.9" customHeight="1" x14ac:dyDescent="0.3">
      <c r="D106" s="72" t="s">
        <v>30</v>
      </c>
      <c r="E106" s="72"/>
      <c r="F106" s="72"/>
    </row>
    <row r="107" spans="4:15" ht="24.9" customHeight="1" x14ac:dyDescent="0.3">
      <c r="D107" s="18" t="s">
        <v>31</v>
      </c>
      <c r="E107" s="18"/>
      <c r="F107" s="18" t="s">
        <v>32</v>
      </c>
      <c r="G107" s="17" t="s">
        <v>34</v>
      </c>
      <c r="I107" s="2"/>
      <c r="J107" s="18" t="s">
        <v>28</v>
      </c>
      <c r="K107" s="21" t="s">
        <v>29</v>
      </c>
      <c r="L107" s="21" t="s">
        <v>34</v>
      </c>
      <c r="M107" s="18" t="s">
        <v>35</v>
      </c>
      <c r="N107" s="18" t="s">
        <v>36</v>
      </c>
      <c r="O107" s="18" t="s">
        <v>37</v>
      </c>
    </row>
    <row r="108" spans="4:15" ht="24.9" customHeight="1" x14ac:dyDescent="0.3">
      <c r="D108" s="18">
        <v>63</v>
      </c>
      <c r="E108" s="18"/>
      <c r="F108" s="18">
        <v>5175</v>
      </c>
      <c r="G108" s="17">
        <v>4794.2</v>
      </c>
      <c r="H108" s="73" t="s">
        <v>41</v>
      </c>
      <c r="I108" s="74"/>
      <c r="J108" s="18" t="s">
        <v>38</v>
      </c>
      <c r="K108" s="21">
        <v>588</v>
      </c>
      <c r="L108" s="21">
        <v>625.9</v>
      </c>
      <c r="M108" s="22">
        <f>L108-K108</f>
        <v>37.899999999999977</v>
      </c>
      <c r="N108" s="18">
        <v>95</v>
      </c>
      <c r="O108" s="22">
        <f>N108*M108</f>
        <v>3600.4999999999977</v>
      </c>
    </row>
    <row r="109" spans="4:15" ht="24.9" customHeight="1" x14ac:dyDescent="0.3">
      <c r="D109" s="18">
        <v>75</v>
      </c>
      <c r="E109" s="18"/>
      <c r="F109" s="18">
        <v>694</v>
      </c>
      <c r="G109" s="17">
        <v>678.9</v>
      </c>
      <c r="I109" s="2"/>
      <c r="J109" s="18" t="s">
        <v>39</v>
      </c>
      <c r="K109" s="21">
        <v>0</v>
      </c>
      <c r="L109" s="21">
        <v>674</v>
      </c>
      <c r="M109" s="22">
        <f>L109-K109</f>
        <v>674</v>
      </c>
      <c r="N109" s="18">
        <v>8</v>
      </c>
      <c r="O109" s="22">
        <f>N109*M109</f>
        <v>5392</v>
      </c>
    </row>
    <row r="110" spans="4:15" ht="24.9" customHeight="1" x14ac:dyDescent="0.3">
      <c r="D110" s="18">
        <v>90</v>
      </c>
      <c r="E110" s="18"/>
      <c r="F110" s="18">
        <v>588</v>
      </c>
      <c r="G110" s="17">
        <v>625.9</v>
      </c>
      <c r="I110" s="19" t="s">
        <v>42</v>
      </c>
      <c r="J110" s="18" t="s">
        <v>40</v>
      </c>
      <c r="K110" s="21">
        <v>37.130000000000003</v>
      </c>
      <c r="L110" s="21">
        <v>301.7</v>
      </c>
      <c r="M110" s="22">
        <f>L110-K110</f>
        <v>264.57</v>
      </c>
      <c r="N110" s="18">
        <v>50</v>
      </c>
      <c r="O110" s="22">
        <f>N110*M110</f>
        <v>13228.5</v>
      </c>
    </row>
    <row r="111" spans="4:15" ht="24.9" customHeight="1" x14ac:dyDescent="0.3">
      <c r="D111" s="18">
        <v>110</v>
      </c>
      <c r="E111" s="18"/>
      <c r="F111" s="18">
        <v>434</v>
      </c>
      <c r="G111" s="17">
        <v>421.6</v>
      </c>
      <c r="N111" s="2" t="s">
        <v>43</v>
      </c>
      <c r="O111" s="23">
        <f>SUM(O108:O110)</f>
        <v>22221</v>
      </c>
    </row>
    <row r="112" spans="4:15" ht="24.9" customHeight="1" x14ac:dyDescent="0.3">
      <c r="D112" s="18">
        <v>160</v>
      </c>
      <c r="E112" s="18"/>
      <c r="F112" s="18">
        <v>774</v>
      </c>
      <c r="G112" s="17">
        <v>768</v>
      </c>
      <c r="N112" s="2" t="s">
        <v>44</v>
      </c>
      <c r="O112" s="23">
        <f>P10</f>
        <v>8865</v>
      </c>
    </row>
    <row r="113" spans="4:15" ht="24.9" customHeight="1" x14ac:dyDescent="0.3">
      <c r="D113" s="18">
        <v>200</v>
      </c>
      <c r="E113" s="18"/>
      <c r="F113" s="18">
        <v>273</v>
      </c>
      <c r="G113" s="17">
        <v>189.5</v>
      </c>
      <c r="N113" s="24" t="s">
        <v>45</v>
      </c>
      <c r="O113" s="25">
        <f>O111-O112</f>
        <v>13356</v>
      </c>
    </row>
    <row r="114" spans="4:15" ht="24.9" customHeight="1" x14ac:dyDescent="0.3">
      <c r="D114" s="20" t="s">
        <v>33</v>
      </c>
      <c r="E114" s="20"/>
      <c r="F114" s="20">
        <f>SUM(F108:F113)</f>
        <v>7938</v>
      </c>
    </row>
  </sheetData>
  <mergeCells count="14">
    <mergeCell ref="J92:M92"/>
    <mergeCell ref="D106:F106"/>
    <mergeCell ref="H108:I108"/>
    <mergeCell ref="J93:M93"/>
    <mergeCell ref="J94:K94"/>
    <mergeCell ref="L94:M94"/>
    <mergeCell ref="J95:K95"/>
    <mergeCell ref="L95:M95"/>
    <mergeCell ref="J97:K97"/>
    <mergeCell ref="L97:M97"/>
    <mergeCell ref="J98:K98"/>
    <mergeCell ref="L98:M98"/>
    <mergeCell ref="J96:K96"/>
    <mergeCell ref="L96:M96"/>
  </mergeCells>
  <phoneticPr fontId="1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2025-06-12T10:53:39Z</dcterms:modified>
</cp:coreProperties>
</file>