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42207B3B-1C38-43DE-A634-2BBD09CC0F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M11" i="1" s="1"/>
  <c r="H11" i="1" l="1"/>
  <c r="N11" i="1" s="1"/>
  <c r="E12" i="1" s="1"/>
  <c r="P12" i="1" s="1"/>
  <c r="I11" i="1"/>
  <c r="J11" i="1"/>
  <c r="K11" i="1"/>
  <c r="L11" i="1"/>
  <c r="U17" i="1"/>
  <c r="G9" i="1"/>
  <c r="L9" i="1" s="1"/>
  <c r="T11" i="1"/>
  <c r="T10" i="1"/>
  <c r="U10" i="1" s="1"/>
  <c r="T9" i="1"/>
  <c r="U9" i="1" s="1"/>
  <c r="G17" i="1"/>
  <c r="M17" i="1" s="1"/>
  <c r="Q16" i="1"/>
  <c r="O8" i="1"/>
  <c r="O23" i="1" s="1"/>
  <c r="H35" i="1" s="1"/>
  <c r="T8" i="1"/>
  <c r="Q7" i="1"/>
  <c r="P11" i="1" l="1"/>
  <c r="M9" i="1"/>
  <c r="J9" i="1"/>
  <c r="K9" i="1"/>
  <c r="H9" i="1"/>
  <c r="N9" i="1" s="1"/>
  <c r="U11" i="1"/>
  <c r="J17" i="1"/>
  <c r="K17" i="1"/>
  <c r="H17" i="1"/>
  <c r="L17" i="1"/>
  <c r="I9" i="1" l="1"/>
  <c r="P9" i="1" s="1"/>
  <c r="N17" i="1"/>
  <c r="E18" i="1" s="1"/>
  <c r="P18" i="1" s="1"/>
  <c r="I17" i="1"/>
  <c r="T21" i="1"/>
  <c r="U21" i="1" s="1"/>
  <c r="P17" i="1" l="1"/>
  <c r="W21" i="1" s="1"/>
  <c r="G21" i="1"/>
  <c r="I21" i="1" s="1"/>
  <c r="J21" i="1" l="1"/>
  <c r="P21" i="1" s="1"/>
  <c r="U8" i="1"/>
  <c r="G8" i="1"/>
  <c r="U23" i="1" l="1"/>
  <c r="H8" i="1"/>
  <c r="E10" i="1" s="1"/>
  <c r="P10" i="1" s="1"/>
  <c r="L8" i="1"/>
  <c r="L23" i="1" s="1"/>
  <c r="J8" i="1"/>
  <c r="M8" i="1"/>
  <c r="M23" i="1" s="1"/>
  <c r="K8" i="1"/>
  <c r="K23" i="1" s="1"/>
  <c r="H33" i="1" s="1"/>
  <c r="N8" i="1" l="1"/>
  <c r="N23" i="1" s="1"/>
  <c r="I8" i="1"/>
  <c r="P8" i="1" l="1"/>
  <c r="W15" i="1" s="1"/>
  <c r="W24" i="1" s="1"/>
  <c r="P23" i="1" l="1"/>
  <c r="U25" i="1" s="1"/>
  <c r="H34" i="1" s="1"/>
</calcChain>
</file>

<file path=xl/sharedStrings.xml><?xml version="1.0" encoding="utf-8"?>
<sst xmlns="http://schemas.openxmlformats.org/spreadsheetml/2006/main" count="61" uniqueCount="55">
  <si>
    <t>Amount</t>
  </si>
  <si>
    <t>PAYMENT NOTE No.</t>
  </si>
  <si>
    <t>UTR</t>
  </si>
  <si>
    <t>Pipeline Laying work</t>
  </si>
  <si>
    <t>Total Paid Amount Rs. -</t>
  </si>
  <si>
    <t>Balance Payable Amount Rs. -</t>
  </si>
  <si>
    <t>Hold Amount For Quantity excess against DPR</t>
  </si>
  <si>
    <t>Adampur Village Pipeline laying work</t>
  </si>
  <si>
    <t xml:space="preserve">Rana Trading Company </t>
  </si>
  <si>
    <t>22-09-2023 NEFT/AXISP00426907987/RIUP23/2219 COMPA/ICIC0001783 49500.00</t>
  </si>
  <si>
    <t>RIUP23/2219</t>
  </si>
  <si>
    <t>26-10-2023 NEFT/AXISP00437127778/RIUP23/2903/RANA TRADING COMPA/ICIC0001783 ₹ 94,495.00</t>
  </si>
  <si>
    <t>RIUP23/2903</t>
  </si>
  <si>
    <t>10-11-2023 NEFT/AXISP00443569628/RIUP23/3269/RANA TRADING COMPA/ICIC0001783 99000.00</t>
  </si>
  <si>
    <t>22-12-2023 NEFT/AXISP00455046739/RIUP23/3936/RANA TRADING COMPA/ICIC0001783 49500.00</t>
  </si>
  <si>
    <t>RIUP23/3269</t>
  </si>
  <si>
    <t>RIUP23/3936</t>
  </si>
  <si>
    <t>RIUP23/4209</t>
  </si>
  <si>
    <t>10-01-2024 NEFT/AXISP00461151273/RIUP23/4209/RANA  70000.00</t>
  </si>
  <si>
    <t xml:space="preserve">Total Hold </t>
  </si>
  <si>
    <t>Advance / Surplus</t>
  </si>
  <si>
    <t>17-01-2024 NEFT/AXISP00463099915/RIUP23/4288/RANA TRADING COMPA/ICIC0001783 49500.00</t>
  </si>
  <si>
    <t>RIUP23/4288</t>
  </si>
  <si>
    <t>GST Release Note</t>
  </si>
  <si>
    <t>64 &amp; 66</t>
  </si>
  <si>
    <t>28-05-2024 NEFT/AXISP00503313705/RIUP24/0525/RANA TRADING COMPA/ICIC0001783 26286.00</t>
  </si>
  <si>
    <t>DPR Excess</t>
  </si>
  <si>
    <t xml:space="preserve">GST </t>
  </si>
  <si>
    <t>Nil</t>
  </si>
  <si>
    <t>22-02-2024 NEFT/AXISP00473332203/RIUP23/4818/RANA TRADING COMPA/ICIC0001783 39600.00</t>
  </si>
  <si>
    <t>30-05-2024 NEFT/AXISP00503886029/RIUP24/0659/RANA TRADING COMPA/ICIC0001783 123553.00</t>
  </si>
  <si>
    <t>Subcontractor:</t>
  </si>
  <si>
    <t>State:</t>
  </si>
  <si>
    <t>District:</t>
  </si>
  <si>
    <t>Block:</t>
  </si>
  <si>
    <t>Uttar Pradesh</t>
  </si>
  <si>
    <t>Muzaffarnagar</t>
  </si>
  <si>
    <t xml:space="preserve">GURANA VILLAGE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</si>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</sst>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15" fontId="3" fillId="2" borderId="10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10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43" fontId="3" fillId="4" borderId="10" xfId="1" applyNumberFormat="1" applyFont="1" applyFill="1" applyBorder="1" applyAlignment="1">
      <alignment vertical="center"/>
    </xf>
    <xf numFmtId="43" fontId="3" fillId="4" borderId="6" xfId="1" applyNumberFormat="1" applyFont="1" applyFill="1" applyBorder="1" applyAlignment="1">
      <alignment vertical="center"/>
    </xf>
    <xf numFmtId="9" fontId="3" fillId="4" borderId="6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15" xfId="0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vertical="center"/>
    </xf>
    <xf numFmtId="9" fontId="3" fillId="4" borderId="10" xfId="1" applyNumberFormat="1" applyFont="1" applyFill="1" applyBorder="1" applyAlignment="1">
      <alignment vertical="center"/>
    </xf>
    <xf numFmtId="0" fontId="5" fillId="3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43" fontId="7" fillId="2" borderId="10" xfId="1" applyNumberFormat="1" applyFont="1" applyFill="1" applyBorder="1" applyAlignment="1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9" fontId="3" fillId="2" borderId="16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11" fillId="5" borderId="1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3" fontId="12" fillId="2" borderId="15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43" fontId="10" fillId="2" borderId="19" xfId="1" applyNumberFormat="1" applyFont="1" applyFill="1" applyBorder="1" applyAlignment="1">
      <alignment horizontal="center" vertical="center"/>
    </xf>
    <xf numFmtId="43" fontId="10" fillId="2" borderId="20" xfId="1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43" fontId="10" fillId="2" borderId="5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zoomScale="85" zoomScaleNormal="85" workbookViewId="0">
      <pane ySplit="5" topLeftCell="A6" activePane="bottomLeft" state="frozen"/>
      <selection pane="bottomLeft" activeCell="B4" sqref="B4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5.5703125" style="3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3" customWidth="1"/>
    <col min="9" max="9" width="12.85546875" style="13" bestFit="1" customWidth="1"/>
    <col min="10" max="10" width="10.7109375" style="3" bestFit="1" customWidth="1"/>
    <col min="11" max="11" width="12.28515625" style="3" customWidth="1"/>
    <col min="12" max="12" width="12.42578125" style="3" bestFit="1" customWidth="1"/>
    <col min="13" max="13" width="12.7109375" style="3" customWidth="1"/>
    <col min="14" max="16" width="14.85546875" style="3" customWidth="1"/>
    <col min="17" max="17" width="10.5703125" style="3" bestFit="1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1" width="18.85546875" style="3" bestFit="1" customWidth="1"/>
    <col min="22" max="22" width="89.85546875" style="3" bestFit="1" customWidth="1"/>
    <col min="23" max="23" width="12.140625" style="3" bestFit="1" customWidth="1"/>
    <col min="24" max="16384" width="9" style="3"/>
  </cols>
  <sheetData>
    <row r="1" spans="1:23" ht="24.95" customHeight="1" x14ac:dyDescent="0.25">
      <c r="A1" s="46" t="s">
        <v>31</v>
      </c>
      <c r="B1" s="2" t="s">
        <v>8</v>
      </c>
      <c r="E1" s="4"/>
      <c r="F1" s="4"/>
      <c r="G1" s="4"/>
      <c r="H1" s="5"/>
      <c r="I1" s="5"/>
    </row>
    <row r="2" spans="1:23" ht="24.95" customHeight="1" x14ac:dyDescent="0.25">
      <c r="A2" s="46" t="s">
        <v>32</v>
      </c>
      <c r="B2" t="s">
        <v>35</v>
      </c>
      <c r="C2" s="6"/>
      <c r="D2" s="6" t="s">
        <v>8</v>
      </c>
      <c r="H2" s="14" t="s">
        <v>3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46" t="s">
        <v>33</v>
      </c>
      <c r="B3" t="s">
        <v>36</v>
      </c>
      <c r="C3" s="6"/>
      <c r="D3" s="6"/>
      <c r="H3" s="14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46" t="s">
        <v>34</v>
      </c>
      <c r="B4" t="s">
        <v>36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45">
        <v>45553</v>
      </c>
      <c r="R4" s="8"/>
      <c r="S4" s="11"/>
      <c r="T4" s="11"/>
      <c r="U4" s="11"/>
      <c r="V4" s="11"/>
    </row>
    <row r="5" spans="1:23" ht="24.95" customHeight="1" x14ac:dyDescent="0.25">
      <c r="A5" s="47" t="s">
        <v>38</v>
      </c>
      <c r="B5" s="48" t="s">
        <v>39</v>
      </c>
      <c r="C5" s="49" t="s">
        <v>40</v>
      </c>
      <c r="D5" s="50" t="s">
        <v>41</v>
      </c>
      <c r="E5" s="48" t="s">
        <v>42</v>
      </c>
      <c r="F5" s="48" t="s">
        <v>43</v>
      </c>
      <c r="G5" s="50" t="s">
        <v>44</v>
      </c>
      <c r="H5" s="51" t="s">
        <v>45</v>
      </c>
      <c r="I5" s="52" t="s">
        <v>0</v>
      </c>
      <c r="J5" s="48" t="s">
        <v>46</v>
      </c>
      <c r="K5" s="48" t="s">
        <v>47</v>
      </c>
      <c r="L5" s="48" t="s">
        <v>48</v>
      </c>
      <c r="M5" s="48" t="s">
        <v>49</v>
      </c>
      <c r="N5" s="22" t="s">
        <v>50</v>
      </c>
      <c r="O5" s="22" t="s">
        <v>6</v>
      </c>
      <c r="P5" s="22" t="s">
        <v>51</v>
      </c>
      <c r="Q5" s="22"/>
      <c r="R5" s="22" t="s">
        <v>1</v>
      </c>
      <c r="S5" s="48" t="s">
        <v>52</v>
      </c>
      <c r="T5" s="48" t="s">
        <v>53</v>
      </c>
      <c r="U5" s="48" t="s">
        <v>54</v>
      </c>
      <c r="V5" s="48" t="s">
        <v>2</v>
      </c>
    </row>
    <row r="6" spans="1:23" ht="24.95" customHeight="1" thickBot="1" x14ac:dyDescent="0.3">
      <c r="A6" s="35"/>
      <c r="B6" s="36"/>
      <c r="C6" s="36"/>
      <c r="D6" s="36"/>
      <c r="E6" s="36"/>
      <c r="F6" s="36"/>
      <c r="G6" s="36"/>
      <c r="H6" s="36"/>
      <c r="I6" s="36"/>
      <c r="J6" s="40">
        <v>0.01</v>
      </c>
      <c r="K6" s="40">
        <v>0.05</v>
      </c>
      <c r="L6" s="40">
        <v>0.1</v>
      </c>
      <c r="M6" s="40">
        <v>0.1</v>
      </c>
      <c r="N6" s="36"/>
      <c r="O6" s="36"/>
      <c r="P6" s="36"/>
      <c r="Q6" s="41"/>
      <c r="R6" s="36"/>
      <c r="S6" s="36"/>
      <c r="T6" s="40">
        <v>0.01</v>
      </c>
      <c r="U6" s="36"/>
      <c r="V6" s="36"/>
    </row>
    <row r="7" spans="1:23" s="16" customFormat="1" ht="24.95" customHeight="1" x14ac:dyDescent="0.25">
      <c r="A7" s="38"/>
      <c r="B7" s="18"/>
      <c r="C7" s="18"/>
      <c r="D7" s="18"/>
      <c r="E7" s="18"/>
      <c r="F7" s="18"/>
      <c r="G7" s="18"/>
      <c r="H7" s="18"/>
      <c r="I7" s="18"/>
      <c r="J7" s="19"/>
      <c r="K7" s="19"/>
      <c r="L7" s="19"/>
      <c r="M7" s="19"/>
      <c r="N7" s="18"/>
      <c r="O7" s="18"/>
      <c r="P7" s="18"/>
      <c r="Q7" s="39">
        <f>A8</f>
        <v>55240</v>
      </c>
      <c r="R7" s="18"/>
      <c r="S7" s="18"/>
      <c r="T7" s="19"/>
      <c r="U7" s="18"/>
      <c r="V7" s="18"/>
    </row>
    <row r="8" spans="1:23" ht="24.95" customHeight="1" x14ac:dyDescent="0.25">
      <c r="A8" s="23">
        <v>55240</v>
      </c>
      <c r="B8" s="28" t="s">
        <v>7</v>
      </c>
      <c r="C8" s="15">
        <v>45215</v>
      </c>
      <c r="D8" s="29">
        <v>64</v>
      </c>
      <c r="E8" s="30">
        <v>265756</v>
      </c>
      <c r="F8" s="30">
        <v>58545</v>
      </c>
      <c r="G8" s="30">
        <f>E8-F8</f>
        <v>207211</v>
      </c>
      <c r="H8" s="30">
        <f>ROUND(G8*18%,)</f>
        <v>37298</v>
      </c>
      <c r="I8" s="30">
        <f>G8+H8</f>
        <v>244509</v>
      </c>
      <c r="J8" s="30">
        <f>G8*$J$6</f>
        <v>2072.11</v>
      </c>
      <c r="K8" s="30">
        <f>G8*5%</f>
        <v>10360.550000000001</v>
      </c>
      <c r="L8" s="30">
        <f>G8*10%</f>
        <v>20721.100000000002</v>
      </c>
      <c r="M8" s="30">
        <f>G8*10%</f>
        <v>20721.100000000002</v>
      </c>
      <c r="N8" s="44">
        <f>H8</f>
        <v>37298</v>
      </c>
      <c r="O8" s="30">
        <f>9342+49500</f>
        <v>58842</v>
      </c>
      <c r="P8" s="30">
        <f>ROUND(I8-SUM(J8:O8),)</f>
        <v>94494</v>
      </c>
      <c r="Q8" s="31"/>
      <c r="R8" s="30" t="s">
        <v>10</v>
      </c>
      <c r="S8" s="30">
        <v>50000</v>
      </c>
      <c r="T8" s="30">
        <f>S8*T6</f>
        <v>500</v>
      </c>
      <c r="U8" s="30">
        <f t="shared" ref="U8" si="0">S8-T8</f>
        <v>49500</v>
      </c>
      <c r="V8" s="30" t="s">
        <v>9</v>
      </c>
    </row>
    <row r="9" spans="1:23" ht="24.95" customHeight="1" x14ac:dyDescent="0.25">
      <c r="A9" s="23">
        <v>55240</v>
      </c>
      <c r="B9" s="28" t="s">
        <v>7</v>
      </c>
      <c r="C9" s="15">
        <v>45238</v>
      </c>
      <c r="D9" s="29">
        <v>66</v>
      </c>
      <c r="E9" s="30">
        <v>287981</v>
      </c>
      <c r="F9" s="30">
        <v>26120</v>
      </c>
      <c r="G9" s="30">
        <f>E9-F9</f>
        <v>261861</v>
      </c>
      <c r="H9" s="30">
        <f>ROUND(G9*18%,)</f>
        <v>47135</v>
      </c>
      <c r="I9" s="30">
        <f>G9+H9</f>
        <v>308996</v>
      </c>
      <c r="J9" s="30">
        <f>G9*$J$6</f>
        <v>2618.61</v>
      </c>
      <c r="K9" s="30">
        <f>G9*5%</f>
        <v>13093.050000000001</v>
      </c>
      <c r="L9" s="30">
        <f>G9*10%</f>
        <v>26186.100000000002</v>
      </c>
      <c r="M9" s="30">
        <f>G9*10%</f>
        <v>26186.100000000002</v>
      </c>
      <c r="N9" s="44">
        <f>H9</f>
        <v>47135</v>
      </c>
      <c r="O9" s="30">
        <v>8382</v>
      </c>
      <c r="P9" s="30">
        <f>ROUND(I9-SUM(J9:O9),)</f>
        <v>185395</v>
      </c>
      <c r="Q9" s="24"/>
      <c r="R9" s="30" t="s">
        <v>12</v>
      </c>
      <c r="S9" s="30">
        <v>94495</v>
      </c>
      <c r="T9" s="30">
        <f t="shared" ref="T9" si="1">S9*T7</f>
        <v>0</v>
      </c>
      <c r="U9" s="30">
        <f t="shared" ref="U9:U11" si="2">S9-T9</f>
        <v>94495</v>
      </c>
      <c r="V9" s="32" t="s">
        <v>11</v>
      </c>
    </row>
    <row r="10" spans="1:23" ht="24.95" customHeight="1" x14ac:dyDescent="0.25">
      <c r="A10" s="23">
        <v>55240</v>
      </c>
      <c r="B10" s="28" t="s">
        <v>23</v>
      </c>
      <c r="C10" s="1"/>
      <c r="D10" s="33" t="s">
        <v>24</v>
      </c>
      <c r="E10" s="12">
        <f>H8+H9</f>
        <v>84433</v>
      </c>
      <c r="F10" s="12"/>
      <c r="G10" s="30"/>
      <c r="H10" s="30"/>
      <c r="I10" s="30"/>
      <c r="J10" s="30"/>
      <c r="K10" s="30"/>
      <c r="L10" s="30"/>
      <c r="M10" s="30"/>
      <c r="N10" s="30"/>
      <c r="O10" s="30"/>
      <c r="P10" s="44">
        <f>E10</f>
        <v>84433</v>
      </c>
      <c r="Q10" s="24"/>
      <c r="R10" s="30" t="s">
        <v>15</v>
      </c>
      <c r="S10" s="30">
        <v>100000</v>
      </c>
      <c r="T10" s="30">
        <f>S10*T6</f>
        <v>1000</v>
      </c>
      <c r="U10" s="30">
        <f t="shared" si="2"/>
        <v>99000</v>
      </c>
      <c r="V10" s="32" t="s">
        <v>13</v>
      </c>
    </row>
    <row r="11" spans="1:23" ht="24.95" customHeight="1" x14ac:dyDescent="0.25">
      <c r="A11" s="23">
        <v>55240</v>
      </c>
      <c r="B11" s="28" t="s">
        <v>7</v>
      </c>
      <c r="C11" s="1">
        <v>45413</v>
      </c>
      <c r="D11" s="33">
        <v>68</v>
      </c>
      <c r="E11" s="12">
        <v>397806</v>
      </c>
      <c r="F11" s="12">
        <v>82864</v>
      </c>
      <c r="G11" s="30">
        <f>E11-F11</f>
        <v>314942</v>
      </c>
      <c r="H11" s="30">
        <f>ROUND(G11*18%,)</f>
        <v>56690</v>
      </c>
      <c r="I11" s="30">
        <f>G11+H11</f>
        <v>371632</v>
      </c>
      <c r="J11" s="30">
        <f>G11*$J$6</f>
        <v>3149.42</v>
      </c>
      <c r="K11" s="30">
        <f>G11*5%</f>
        <v>15747.1</v>
      </c>
      <c r="L11" s="30">
        <f>G11*10%</f>
        <v>31494.2</v>
      </c>
      <c r="M11" s="30">
        <f>G11*10%</f>
        <v>31494.2</v>
      </c>
      <c r="N11" s="44">
        <f>H11</f>
        <v>56690</v>
      </c>
      <c r="O11" s="30">
        <v>52608</v>
      </c>
      <c r="P11" s="30">
        <f>ROUND(I11-SUM(J11:O11),)</f>
        <v>180449</v>
      </c>
      <c r="Q11" s="24"/>
      <c r="R11" s="30" t="s">
        <v>16</v>
      </c>
      <c r="S11" s="30">
        <v>50000</v>
      </c>
      <c r="T11" s="30">
        <f>S11*T6</f>
        <v>500</v>
      </c>
      <c r="U11" s="30">
        <f t="shared" si="2"/>
        <v>49500</v>
      </c>
      <c r="V11" s="32" t="s">
        <v>14</v>
      </c>
    </row>
    <row r="12" spans="1:23" ht="24.95" customHeight="1" x14ac:dyDescent="0.25">
      <c r="A12" s="23">
        <v>55240</v>
      </c>
      <c r="B12" s="28" t="s">
        <v>23</v>
      </c>
      <c r="C12" s="1"/>
      <c r="D12" s="33">
        <v>68</v>
      </c>
      <c r="E12" s="12">
        <f>N11</f>
        <v>56690</v>
      </c>
      <c r="F12" s="12"/>
      <c r="G12" s="30"/>
      <c r="H12" s="30"/>
      <c r="I12" s="30"/>
      <c r="J12" s="30"/>
      <c r="K12" s="30"/>
      <c r="L12" s="30"/>
      <c r="M12" s="30"/>
      <c r="N12" s="30"/>
      <c r="O12" s="30"/>
      <c r="P12" s="44">
        <f>E12</f>
        <v>56690</v>
      </c>
      <c r="Q12" s="24"/>
      <c r="R12" s="30" t="s">
        <v>22</v>
      </c>
      <c r="S12" s="30">
        <v>50000</v>
      </c>
      <c r="T12" s="30">
        <v>500</v>
      </c>
      <c r="U12" s="30">
        <v>49500</v>
      </c>
      <c r="V12" s="32" t="s">
        <v>21</v>
      </c>
    </row>
    <row r="13" spans="1:23" ht="24.95" customHeight="1" x14ac:dyDescent="0.25">
      <c r="A13" s="23">
        <v>55240</v>
      </c>
      <c r="B13" s="28"/>
      <c r="C13" s="1"/>
      <c r="D13" s="33"/>
      <c r="E13" s="12"/>
      <c r="F13" s="12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24"/>
      <c r="R13" s="30"/>
      <c r="S13" s="30">
        <v>40000</v>
      </c>
      <c r="T13" s="30">
        <v>4000</v>
      </c>
      <c r="U13" s="30">
        <v>39600</v>
      </c>
      <c r="V13" s="32" t="s">
        <v>29</v>
      </c>
    </row>
    <row r="14" spans="1:23" ht="24.95" customHeight="1" x14ac:dyDescent="0.25">
      <c r="A14" s="23">
        <v>55240</v>
      </c>
      <c r="B14" s="28"/>
      <c r="C14" s="1"/>
      <c r="D14" s="33"/>
      <c r="E14" s="12"/>
      <c r="F14" s="12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24"/>
      <c r="R14" s="30"/>
      <c r="S14" s="30"/>
      <c r="T14" s="30"/>
      <c r="U14" s="30">
        <v>123553</v>
      </c>
      <c r="V14" s="32" t="s">
        <v>30</v>
      </c>
      <c r="W14" s="20"/>
    </row>
    <row r="15" spans="1:23" ht="24.95" customHeight="1" x14ac:dyDescent="0.25">
      <c r="A15" s="23">
        <v>55240</v>
      </c>
      <c r="B15" s="28"/>
      <c r="C15" s="1"/>
      <c r="D15" s="33"/>
      <c r="E15" s="12"/>
      <c r="F15" s="12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24"/>
      <c r="R15" s="30"/>
      <c r="S15" s="30"/>
      <c r="T15" s="30"/>
      <c r="U15" s="30"/>
      <c r="V15" s="32"/>
      <c r="W15" s="20">
        <f>SUM(P8:P15)-SUM(U8:U15)</f>
        <v>96313</v>
      </c>
    </row>
    <row r="16" spans="1:23" ht="24.95" customHeight="1" x14ac:dyDescent="0.25">
      <c r="A16" s="25"/>
      <c r="B16" s="17"/>
      <c r="C16" s="17"/>
      <c r="D16" s="17"/>
      <c r="E16" s="17"/>
      <c r="F16" s="17"/>
      <c r="G16" s="17"/>
      <c r="H16" s="17"/>
      <c r="I16" s="17"/>
      <c r="J16" s="26"/>
      <c r="K16" s="26"/>
      <c r="L16" s="26"/>
      <c r="M16" s="26"/>
      <c r="N16" s="17"/>
      <c r="O16" s="17"/>
      <c r="P16" s="17"/>
      <c r="Q16" s="27">
        <f>A17</f>
        <v>61411</v>
      </c>
      <c r="R16" s="17"/>
      <c r="S16" s="17"/>
      <c r="T16" s="26"/>
      <c r="U16" s="17"/>
      <c r="V16" s="17"/>
    </row>
    <row r="17" spans="1:23" ht="24.95" customHeight="1" x14ac:dyDescent="0.25">
      <c r="A17" s="23">
        <v>61411</v>
      </c>
      <c r="B17" s="28" t="s">
        <v>37</v>
      </c>
      <c r="C17" s="15">
        <v>45271</v>
      </c>
      <c r="D17" s="29">
        <v>67</v>
      </c>
      <c r="E17" s="30">
        <v>164050</v>
      </c>
      <c r="F17" s="30">
        <v>18014</v>
      </c>
      <c r="G17" s="30">
        <f>E17-F17</f>
        <v>146036</v>
      </c>
      <c r="H17" s="30">
        <f>ROUND(G17*18%,)</f>
        <v>26286</v>
      </c>
      <c r="I17" s="30">
        <f>G17+H17</f>
        <v>172322</v>
      </c>
      <c r="J17" s="30">
        <f>G17*$J$6</f>
        <v>1460.3600000000001</v>
      </c>
      <c r="K17" s="30">
        <f>G17*5%</f>
        <v>7301.8</v>
      </c>
      <c r="L17" s="30">
        <f>G17*10%</f>
        <v>14603.6</v>
      </c>
      <c r="M17" s="30">
        <f>G17*10%</f>
        <v>14603.6</v>
      </c>
      <c r="N17" s="44">
        <f>H17</f>
        <v>26286</v>
      </c>
      <c r="O17" s="30">
        <v>18940</v>
      </c>
      <c r="P17" s="30">
        <f>ROUND(I17-SUM(J17:O17),)</f>
        <v>89127</v>
      </c>
      <c r="Q17" s="31"/>
      <c r="R17" s="30" t="s">
        <v>17</v>
      </c>
      <c r="S17" s="30">
        <v>70000</v>
      </c>
      <c r="T17" s="30">
        <v>0</v>
      </c>
      <c r="U17" s="30">
        <f t="shared" ref="U17" si="3">S17-T17</f>
        <v>70000</v>
      </c>
      <c r="V17" s="30" t="s">
        <v>18</v>
      </c>
    </row>
    <row r="18" spans="1:23" ht="24.95" customHeight="1" x14ac:dyDescent="0.25">
      <c r="A18" s="23">
        <v>61411</v>
      </c>
      <c r="B18" s="28" t="s">
        <v>23</v>
      </c>
      <c r="C18" s="1"/>
      <c r="D18" s="33">
        <v>67</v>
      </c>
      <c r="E18" s="12">
        <f>N17</f>
        <v>26286</v>
      </c>
      <c r="F18" s="12"/>
      <c r="G18" s="30"/>
      <c r="H18" s="30"/>
      <c r="I18" s="30"/>
      <c r="J18" s="30"/>
      <c r="K18" s="30"/>
      <c r="L18" s="30"/>
      <c r="M18" s="30"/>
      <c r="N18" s="30"/>
      <c r="O18" s="30"/>
      <c r="P18" s="44">
        <f>E18</f>
        <v>26286</v>
      </c>
      <c r="Q18" s="24"/>
      <c r="R18" s="12"/>
      <c r="S18" s="12"/>
      <c r="T18" s="12"/>
      <c r="U18" s="30">
        <v>26286</v>
      </c>
      <c r="V18" s="30" t="s">
        <v>25</v>
      </c>
    </row>
    <row r="19" spans="1:23" ht="24.95" customHeight="1" x14ac:dyDescent="0.25">
      <c r="A19" s="23">
        <v>61411</v>
      </c>
      <c r="B19" s="28"/>
      <c r="C19" s="1"/>
      <c r="D19" s="33"/>
      <c r="E19" s="12"/>
      <c r="F19" s="12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24"/>
      <c r="R19" s="12"/>
      <c r="S19" s="12"/>
      <c r="T19" s="12"/>
      <c r="U19" s="12"/>
      <c r="V19" s="32"/>
    </row>
    <row r="20" spans="1:23" ht="24.95" customHeight="1" x14ac:dyDescent="0.25">
      <c r="A20" s="23">
        <v>61411</v>
      </c>
      <c r="B20" s="28"/>
      <c r="C20" s="1"/>
      <c r="D20" s="33"/>
      <c r="E20" s="12"/>
      <c r="F20" s="12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24"/>
      <c r="R20" s="12"/>
      <c r="S20" s="12"/>
      <c r="T20" s="12"/>
      <c r="U20" s="12"/>
      <c r="V20" s="32"/>
    </row>
    <row r="21" spans="1:23" ht="24.95" customHeight="1" x14ac:dyDescent="0.25">
      <c r="A21" s="23">
        <v>61411</v>
      </c>
      <c r="B21" s="34"/>
      <c r="C21" s="1"/>
      <c r="D21" s="33"/>
      <c r="E21" s="12"/>
      <c r="F21" s="12">
        <v>0</v>
      </c>
      <c r="G21" s="12">
        <f>E21-F21</f>
        <v>0</v>
      </c>
      <c r="H21" s="12">
        <v>0</v>
      </c>
      <c r="I21" s="12">
        <f>G21+H21</f>
        <v>0</v>
      </c>
      <c r="J21" s="12">
        <f>J$6*I21</f>
        <v>0</v>
      </c>
      <c r="K21" s="12">
        <v>0</v>
      </c>
      <c r="L21" s="12"/>
      <c r="M21" s="12"/>
      <c r="N21" s="12">
        <v>0</v>
      </c>
      <c r="O21" s="12"/>
      <c r="P21" s="12">
        <f>I21-SUM(J21:N21)</f>
        <v>0</v>
      </c>
      <c r="Q21" s="24"/>
      <c r="R21" s="12"/>
      <c r="S21" s="12"/>
      <c r="T21" s="12">
        <f>S21*T6</f>
        <v>0</v>
      </c>
      <c r="U21" s="12">
        <f t="shared" ref="U21" si="4">S21-T21</f>
        <v>0</v>
      </c>
      <c r="V21" s="32"/>
      <c r="W21" s="20">
        <f>SUM(P17:P19)-SUM(U17:U19)</f>
        <v>19127</v>
      </c>
    </row>
    <row r="22" spans="1:23" ht="24.95" customHeight="1" thickBot="1" x14ac:dyDescent="0.3">
      <c r="A22" s="23">
        <v>61411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24"/>
      <c r="R22" s="12"/>
      <c r="S22" s="12"/>
      <c r="T22" s="12"/>
      <c r="U22" s="12"/>
      <c r="V22" s="32"/>
    </row>
    <row r="23" spans="1:23" ht="24.95" customHeight="1" thickBot="1" x14ac:dyDescent="0.3">
      <c r="A23" s="21"/>
      <c r="B23" s="42"/>
      <c r="C23" s="42"/>
      <c r="D23" s="42"/>
      <c r="E23" s="42"/>
      <c r="F23" s="42"/>
      <c r="G23" s="42"/>
      <c r="H23" s="42"/>
      <c r="I23" s="42"/>
      <c r="J23" s="42"/>
      <c r="K23" s="43">
        <f t="shared" ref="K23:P23" si="5">SUM(K8:K22)</f>
        <v>46502.500000000007</v>
      </c>
      <c r="L23" s="43">
        <f t="shared" si="5"/>
        <v>93005.000000000015</v>
      </c>
      <c r="M23" s="43">
        <f t="shared" si="5"/>
        <v>93005.000000000015</v>
      </c>
      <c r="N23" s="43">
        <f t="shared" si="5"/>
        <v>167409</v>
      </c>
      <c r="O23" s="43">
        <f t="shared" si="5"/>
        <v>138772</v>
      </c>
      <c r="P23" s="43">
        <f t="shared" si="5"/>
        <v>716874</v>
      </c>
      <c r="Q23" s="42"/>
      <c r="R23" s="43" t="s">
        <v>4</v>
      </c>
      <c r="S23" s="42"/>
      <c r="T23" s="42"/>
      <c r="U23" s="43">
        <f>SUM(U6:U22)</f>
        <v>601434</v>
      </c>
      <c r="V23" s="42"/>
    </row>
    <row r="24" spans="1:23" ht="24.95" customHeight="1" x14ac:dyDescent="0.25">
      <c r="A24" s="23"/>
      <c r="B24" s="12"/>
      <c r="C24" s="4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3">
        <f>SUM(W7:W23)</f>
        <v>115440</v>
      </c>
    </row>
    <row r="25" spans="1:23" ht="24.95" customHeight="1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7" t="s">
        <v>5</v>
      </c>
      <c r="S25" s="36"/>
      <c r="T25" s="36"/>
      <c r="U25" s="37">
        <f>P23-U23</f>
        <v>115440</v>
      </c>
      <c r="V25" s="36"/>
    </row>
    <row r="31" spans="1:23" ht="24.95" customHeight="1" thickBot="1" x14ac:dyDescent="0.3"/>
    <row r="32" spans="1:23" ht="24.95" customHeight="1" thickBot="1" x14ac:dyDescent="0.3">
      <c r="F32" s="61">
        <v>45553</v>
      </c>
      <c r="G32" s="62"/>
      <c r="H32" s="62"/>
      <c r="I32" s="63"/>
    </row>
    <row r="33" spans="6:9" ht="24.95" customHeight="1" x14ac:dyDescent="0.25">
      <c r="F33" s="64" t="s">
        <v>19</v>
      </c>
      <c r="G33" s="65"/>
      <c r="H33" s="66">
        <f>K23+L23+M23</f>
        <v>232512.50000000006</v>
      </c>
      <c r="I33" s="67"/>
    </row>
    <row r="34" spans="6:9" ht="24.95" customHeight="1" x14ac:dyDescent="0.25">
      <c r="F34" s="57" t="s">
        <v>20</v>
      </c>
      <c r="G34" s="58"/>
      <c r="H34" s="59">
        <f>U25</f>
        <v>115440</v>
      </c>
      <c r="I34" s="60"/>
    </row>
    <row r="35" spans="6:9" ht="24.95" customHeight="1" x14ac:dyDescent="0.25">
      <c r="F35" s="57" t="s">
        <v>26</v>
      </c>
      <c r="G35" s="58"/>
      <c r="H35" s="59">
        <f>O23</f>
        <v>138772</v>
      </c>
      <c r="I35" s="60"/>
    </row>
    <row r="36" spans="6:9" ht="24.95" customHeight="1" thickBot="1" x14ac:dyDescent="0.3">
      <c r="F36" s="53" t="s">
        <v>27</v>
      </c>
      <c r="G36" s="54"/>
      <c r="H36" s="55" t="s">
        <v>28</v>
      </c>
      <c r="I36" s="56"/>
    </row>
  </sheetData>
  <mergeCells count="9">
    <mergeCell ref="F36:G36"/>
    <mergeCell ref="H36:I36"/>
    <mergeCell ref="F35:G35"/>
    <mergeCell ref="H35:I35"/>
    <mergeCell ref="F32:I32"/>
    <mergeCell ref="F33:G33"/>
    <mergeCell ref="H33:I33"/>
    <mergeCell ref="F34:G34"/>
    <mergeCell ref="H34:I34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2025-06-27T07:26:13Z</dcterms:modified>
</cp:coreProperties>
</file>