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Shahrukh Shaikh\"/>
    </mc:Choice>
  </mc:AlternateContent>
  <xr:revisionPtr revIDLastSave="0" documentId="13_ncr:1_{B4F7A9F0-EB54-442D-9154-C2326D28161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27.12.24" sheetId="2" r:id="rId2"/>
  </sheets>
  <definedNames>
    <definedName name="_xlnm._FilterDatabase" localSheetId="0" hidden="1">Sheet1!$A$7:$BW$7</definedName>
    <definedName name="_xlnm.Print_Area" localSheetId="0">Sheet1!$A$1:$U$315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74" i="1" l="1"/>
  <c r="K274" i="1" s="1"/>
  <c r="G272" i="1"/>
  <c r="K272" i="1" s="1"/>
  <c r="G288" i="1"/>
  <c r="K288" i="1" s="1"/>
  <c r="G277" i="1"/>
  <c r="H274" i="1" l="1"/>
  <c r="N274" i="1" s="1"/>
  <c r="J274" i="1"/>
  <c r="H272" i="1"/>
  <c r="N272" i="1" s="1"/>
  <c r="L272" i="1"/>
  <c r="M272" i="1"/>
  <c r="J272" i="1"/>
  <c r="H288" i="1"/>
  <c r="N288" i="1" s="1"/>
  <c r="E289" i="1" s="1"/>
  <c r="P289" i="1" s="1"/>
  <c r="M288" i="1"/>
  <c r="L288" i="1"/>
  <c r="J288" i="1"/>
  <c r="M277" i="1"/>
  <c r="H277" i="1"/>
  <c r="N277" i="1" s="1"/>
  <c r="E278" i="1" s="1"/>
  <c r="P278" i="1" s="1"/>
  <c r="K277" i="1"/>
  <c r="J277" i="1"/>
  <c r="L277" i="1"/>
  <c r="I274" i="1" l="1"/>
  <c r="P274" i="1" s="1"/>
  <c r="I288" i="1"/>
  <c r="P288" i="1" s="1"/>
  <c r="I272" i="1"/>
  <c r="P272" i="1" s="1"/>
  <c r="I277" i="1"/>
  <c r="P277" i="1" s="1"/>
  <c r="Q296" i="1" l="1"/>
  <c r="Q293" i="1"/>
  <c r="B35" i="2" l="1"/>
  <c r="G262" i="1" l="1"/>
  <c r="G244" i="1"/>
  <c r="E147" i="1"/>
  <c r="P147" i="1"/>
  <c r="J262" i="1" l="1"/>
  <c r="H262" i="1"/>
  <c r="N262" i="1" s="1"/>
  <c r="E263" i="1" s="1"/>
  <c r="P263" i="1" s="1"/>
  <c r="K262" i="1"/>
  <c r="J244" i="1"/>
  <c r="K244" i="1"/>
  <c r="H244" i="1"/>
  <c r="N244" i="1" s="1"/>
  <c r="E245" i="1" s="1"/>
  <c r="P245" i="1" s="1"/>
  <c r="Q287" i="1"/>
  <c r="F283" i="1"/>
  <c r="G283" i="1" s="1"/>
  <c r="K283" i="1" s="1"/>
  <c r="Q282" i="1"/>
  <c r="G121" i="1"/>
  <c r="G120" i="1"/>
  <c r="G119" i="1"/>
  <c r="I262" i="1" l="1"/>
  <c r="I244" i="1"/>
  <c r="P244" i="1" s="1"/>
  <c r="J283" i="1"/>
  <c r="H283" i="1"/>
  <c r="L283" i="1"/>
  <c r="M283" i="1"/>
  <c r="Q276" i="1"/>
  <c r="P262" i="1" l="1"/>
  <c r="N283" i="1"/>
  <c r="E284" i="1" s="1"/>
  <c r="P284" i="1" s="1"/>
  <c r="I283" i="1"/>
  <c r="P283" i="1" l="1"/>
  <c r="S39" i="1"/>
  <c r="S40" i="1"/>
  <c r="S41" i="1"/>
  <c r="S42" i="1"/>
  <c r="S43" i="1"/>
  <c r="S44" i="1"/>
  <c r="S47" i="1"/>
  <c r="S50" i="1"/>
  <c r="S51" i="1"/>
  <c r="S52" i="1"/>
  <c r="S54" i="1"/>
  <c r="S56" i="1"/>
  <c r="S57" i="1"/>
  <c r="S59" i="1"/>
  <c r="S74" i="1"/>
  <c r="S76" i="1"/>
  <c r="S79" i="1"/>
  <c r="S150" i="1"/>
  <c r="S151" i="1"/>
  <c r="S158" i="1"/>
  <c r="S159" i="1"/>
  <c r="S164" i="1"/>
  <c r="S172" i="1"/>
  <c r="S173" i="1"/>
  <c r="S175" i="1"/>
  <c r="S187" i="1"/>
  <c r="S190" i="1"/>
  <c r="S192" i="1"/>
  <c r="S194" i="1"/>
  <c r="S195" i="1"/>
  <c r="S210" i="1"/>
  <c r="S217" i="1"/>
  <c r="S224" i="1"/>
  <c r="S232" i="1"/>
  <c r="S242" i="1"/>
  <c r="J181" i="1" l="1"/>
  <c r="P181" i="1" s="1"/>
  <c r="G267" i="1" l="1"/>
  <c r="M267" i="1" s="1"/>
  <c r="H267" i="1" l="1"/>
  <c r="N267" i="1" s="1"/>
  <c r="J267" i="1"/>
  <c r="K267" i="1"/>
  <c r="L267" i="1"/>
  <c r="I267" i="1" l="1"/>
  <c r="P267" i="1" s="1"/>
  <c r="G145" i="1"/>
  <c r="M145" i="1" s="1"/>
  <c r="E115" i="1"/>
  <c r="P115" i="1" s="1"/>
  <c r="J145" i="1" l="1"/>
  <c r="L145" i="1"/>
  <c r="K145" i="1"/>
  <c r="H145" i="1"/>
  <c r="N145" i="1" s="1"/>
  <c r="E146" i="1" s="1"/>
  <c r="P146" i="1" s="1"/>
  <c r="G151" i="1"/>
  <c r="K151" i="1" s="1"/>
  <c r="G150" i="1"/>
  <c r="K150" i="1" s="1"/>
  <c r="G212" i="1"/>
  <c r="K212" i="1" s="1"/>
  <c r="G218" i="1"/>
  <c r="M218" i="1" s="1"/>
  <c r="G217" i="1"/>
  <c r="K217" i="1" s="1"/>
  <c r="Q216" i="1"/>
  <c r="G254" i="1"/>
  <c r="K254" i="1" s="1"/>
  <c r="G225" i="1"/>
  <c r="L225" i="1" s="1"/>
  <c r="G266" i="1"/>
  <c r="K266" i="1" s="1"/>
  <c r="G247" i="1"/>
  <c r="J247" i="1" s="1"/>
  <c r="I145" i="1" l="1"/>
  <c r="P145" i="1"/>
  <c r="L150" i="1"/>
  <c r="L212" i="1"/>
  <c r="H150" i="1"/>
  <c r="N150" i="1" s="1"/>
  <c r="E152" i="1" s="1"/>
  <c r="P152" i="1" s="1"/>
  <c r="J150" i="1"/>
  <c r="M150" i="1"/>
  <c r="H151" i="1"/>
  <c r="N151" i="1" s="1"/>
  <c r="E153" i="1" s="1"/>
  <c r="P153" i="1" s="1"/>
  <c r="L151" i="1"/>
  <c r="J151" i="1"/>
  <c r="M151" i="1"/>
  <c r="H212" i="1"/>
  <c r="N212" i="1" s="1"/>
  <c r="E213" i="1" s="1"/>
  <c r="P213" i="1" s="1"/>
  <c r="J212" i="1"/>
  <c r="M212" i="1"/>
  <c r="H217" i="1"/>
  <c r="N217" i="1" s="1"/>
  <c r="L218" i="1"/>
  <c r="J217" i="1"/>
  <c r="L217" i="1"/>
  <c r="H218" i="1"/>
  <c r="N218" i="1" s="1"/>
  <c r="E220" i="1" s="1"/>
  <c r="P220" i="1" s="1"/>
  <c r="M217" i="1"/>
  <c r="J218" i="1"/>
  <c r="K218" i="1"/>
  <c r="J254" i="1"/>
  <c r="H254" i="1"/>
  <c r="N254" i="1" s="1"/>
  <c r="E255" i="1" s="1"/>
  <c r="P255" i="1" s="1"/>
  <c r="L254" i="1"/>
  <c r="M254" i="1"/>
  <c r="J225" i="1"/>
  <c r="M225" i="1"/>
  <c r="K225" i="1"/>
  <c r="H225" i="1"/>
  <c r="L266" i="1"/>
  <c r="M266" i="1"/>
  <c r="H266" i="1"/>
  <c r="N266" i="1" s="1"/>
  <c r="J266" i="1"/>
  <c r="H247" i="1"/>
  <c r="N247" i="1" s="1"/>
  <c r="E248" i="1" s="1"/>
  <c r="P248" i="1" s="1"/>
  <c r="L247" i="1"/>
  <c r="M247" i="1"/>
  <c r="K247" i="1"/>
  <c r="E174" i="1"/>
  <c r="E268" i="1" l="1"/>
  <c r="P268" i="1" s="1"/>
  <c r="I151" i="1"/>
  <c r="P151" i="1" s="1"/>
  <c r="I150" i="1"/>
  <c r="P150" i="1" s="1"/>
  <c r="E219" i="1"/>
  <c r="P219" i="1" s="1"/>
  <c r="I212" i="1"/>
  <c r="P212" i="1" s="1"/>
  <c r="I217" i="1"/>
  <c r="P217" i="1" s="1"/>
  <c r="I218" i="1"/>
  <c r="P218" i="1" s="1"/>
  <c r="I254" i="1"/>
  <c r="P254" i="1" s="1"/>
  <c r="N225" i="1"/>
  <c r="E227" i="1" s="1"/>
  <c r="P227" i="1" s="1"/>
  <c r="I225" i="1"/>
  <c r="I266" i="1"/>
  <c r="P266" i="1" s="1"/>
  <c r="I247" i="1"/>
  <c r="P247" i="1" s="1"/>
  <c r="E182" i="1"/>
  <c r="P182" i="1" s="1"/>
  <c r="P225" i="1" l="1"/>
  <c r="P90" i="1"/>
  <c r="P89" i="1"/>
  <c r="E106" i="1"/>
  <c r="P106" i="1" s="1"/>
  <c r="E123" i="1"/>
  <c r="P123" i="1" s="1"/>
  <c r="E135" i="1"/>
  <c r="P135" i="1" s="1"/>
  <c r="E144" i="1"/>
  <c r="P144" i="1" s="1"/>
  <c r="P98" i="1" l="1"/>
  <c r="P97" i="1"/>
  <c r="P79" i="1"/>
  <c r="P174" i="1"/>
  <c r="Q198" i="1"/>
  <c r="Q241" i="1"/>
  <c r="Q236" i="1"/>
  <c r="Q230" i="1"/>
  <c r="G242" i="1"/>
  <c r="L242" i="1" s="1"/>
  <c r="G105" i="1"/>
  <c r="G232" i="1"/>
  <c r="J232" i="1" s="1"/>
  <c r="N42" i="1"/>
  <c r="E122" i="1"/>
  <c r="Q118" i="1"/>
  <c r="Q63" i="1"/>
  <c r="Q38" i="1"/>
  <c r="Q163" i="1"/>
  <c r="Q179" i="1"/>
  <c r="Q223" i="1"/>
  <c r="Q209" i="1"/>
  <c r="Q204" i="1"/>
  <c r="Q141" i="1"/>
  <c r="Q132" i="1"/>
  <c r="G134" i="1"/>
  <c r="M134" i="1" s="1"/>
  <c r="G122" i="1" l="1"/>
  <c r="I122" i="1" s="1"/>
  <c r="P122" i="1" s="1"/>
  <c r="K242" i="1"/>
  <c r="M242" i="1"/>
  <c r="H242" i="1"/>
  <c r="N242" i="1" s="1"/>
  <c r="E243" i="1" s="1"/>
  <c r="P243" i="1" s="1"/>
  <c r="J242" i="1"/>
  <c r="L105" i="1"/>
  <c r="M105" i="1"/>
  <c r="K105" i="1"/>
  <c r="H105" i="1"/>
  <c r="J105" i="1"/>
  <c r="M232" i="1"/>
  <c r="L232" i="1"/>
  <c r="K232" i="1"/>
  <c r="H232" i="1"/>
  <c r="N232" i="1" s="1"/>
  <c r="E234" i="1" s="1"/>
  <c r="P234" i="1" s="1"/>
  <c r="J134" i="1"/>
  <c r="L134" i="1"/>
  <c r="K134" i="1"/>
  <c r="H134" i="1"/>
  <c r="M121" i="1"/>
  <c r="G190" i="1"/>
  <c r="M190" i="1" s="1"/>
  <c r="G189" i="1"/>
  <c r="M189" i="1" s="1"/>
  <c r="N105" i="1" l="1"/>
  <c r="P107" i="1" s="1"/>
  <c r="E107" i="1"/>
  <c r="N134" i="1"/>
  <c r="E136" i="1"/>
  <c r="P136" i="1" s="1"/>
  <c r="I242" i="1"/>
  <c r="P242" i="1" s="1"/>
  <c r="P105" i="1"/>
  <c r="I105" i="1"/>
  <c r="I232" i="1"/>
  <c r="P232" i="1" s="1"/>
  <c r="P134" i="1"/>
  <c r="J190" i="1"/>
  <c r="K121" i="1"/>
  <c r="H121" i="1"/>
  <c r="N121" i="1" s="1"/>
  <c r="E124" i="1" s="1"/>
  <c r="P124" i="1" s="1"/>
  <c r="L121" i="1"/>
  <c r="I134" i="1"/>
  <c r="J121" i="1"/>
  <c r="J189" i="1"/>
  <c r="L189" i="1"/>
  <c r="L190" i="1"/>
  <c r="K190" i="1"/>
  <c r="K189" i="1"/>
  <c r="H190" i="1"/>
  <c r="N190" i="1" s="1"/>
  <c r="H189" i="1"/>
  <c r="N189" i="1" s="1"/>
  <c r="E191" i="1" l="1"/>
  <c r="P191" i="1" s="1"/>
  <c r="I121" i="1"/>
  <c r="P121" i="1"/>
  <c r="I190" i="1"/>
  <c r="P190" i="1" s="1"/>
  <c r="I189" i="1"/>
  <c r="P189" i="1" s="1"/>
  <c r="G224" i="1" l="1"/>
  <c r="M224" i="1" s="1"/>
  <c r="L224" i="1" l="1"/>
  <c r="J224" i="1"/>
  <c r="H224" i="1"/>
  <c r="N224" i="1" s="1"/>
  <c r="E226" i="1" s="1"/>
  <c r="P226" i="1" s="1"/>
  <c r="K224" i="1"/>
  <c r="Q7" i="1"/>
  <c r="N67" i="1"/>
  <c r="H67" i="1"/>
  <c r="I67" i="1" s="1"/>
  <c r="I224" i="1" l="1"/>
  <c r="P224" i="1" s="1"/>
  <c r="J67" i="1"/>
  <c r="M67" i="1"/>
  <c r="L67" i="1"/>
  <c r="K67" i="1"/>
  <c r="G65" i="1"/>
  <c r="N65" i="1" s="1"/>
  <c r="G66" i="1"/>
  <c r="H66" i="1" s="1"/>
  <c r="N66" i="1" s="1"/>
  <c r="E68" i="1" s="1"/>
  <c r="P68" i="1" s="1"/>
  <c r="G64" i="1"/>
  <c r="M64" i="1" s="1"/>
  <c r="J64" i="1" l="1"/>
  <c r="H64" i="1"/>
  <c r="N64" i="1" s="1"/>
  <c r="L64" i="1"/>
  <c r="K64" i="1"/>
  <c r="K66" i="1"/>
  <c r="J66" i="1"/>
  <c r="M66" i="1"/>
  <c r="I66" i="1"/>
  <c r="L66" i="1"/>
  <c r="I65" i="1"/>
  <c r="P66" i="1" l="1"/>
  <c r="I64" i="1"/>
  <c r="P64" i="1" s="1"/>
  <c r="P65" i="1"/>
  <c r="J52" i="1"/>
  <c r="G53" i="1"/>
  <c r="G52" i="1"/>
  <c r="H52" i="1" s="1"/>
  <c r="G51" i="1"/>
  <c r="I51" i="1" s="1"/>
  <c r="F50" i="1"/>
  <c r="G50" i="1" l="1"/>
  <c r="H50" i="1" s="1"/>
  <c r="N50" i="1" s="1"/>
  <c r="J53" i="1"/>
  <c r="H53" i="1"/>
  <c r="N53" i="1" s="1"/>
  <c r="N52" i="1"/>
  <c r="L52" i="1"/>
  <c r="M52" i="1"/>
  <c r="K52" i="1"/>
  <c r="K53" i="1"/>
  <c r="L50" i="1" l="1"/>
  <c r="M50" i="1"/>
  <c r="J50" i="1"/>
  <c r="K50" i="1"/>
  <c r="E54" i="1"/>
  <c r="P54" i="1" s="1"/>
  <c r="I50" i="1"/>
  <c r="I52" i="1"/>
  <c r="P52" i="1" s="1"/>
  <c r="I53" i="1"/>
  <c r="P53" i="1" s="1"/>
  <c r="P50" i="1" l="1"/>
  <c r="G166" i="1" l="1"/>
  <c r="F165" i="1"/>
  <c r="G165" i="1" s="1"/>
  <c r="H165" i="1" s="1"/>
  <c r="L166" i="1" l="1"/>
  <c r="H166" i="1"/>
  <c r="J166" i="1"/>
  <c r="M166" i="1"/>
  <c r="M165" i="1"/>
  <c r="L165" i="1"/>
  <c r="N165" i="1"/>
  <c r="K165" i="1"/>
  <c r="J165" i="1"/>
  <c r="K166" i="1"/>
  <c r="F237" i="1"/>
  <c r="G237" i="1" s="1"/>
  <c r="H237" i="1" l="1"/>
  <c r="N237" i="1" s="1"/>
  <c r="E238" i="1" s="1"/>
  <c r="P238" i="1" s="1"/>
  <c r="L237" i="1"/>
  <c r="N166" i="1"/>
  <c r="I166" i="1"/>
  <c r="I165" i="1"/>
  <c r="P165" i="1" s="1"/>
  <c r="K237" i="1"/>
  <c r="M237" i="1"/>
  <c r="J237" i="1"/>
  <c r="P166" i="1" l="1"/>
  <c r="I237" i="1"/>
  <c r="P237" i="1" s="1"/>
  <c r="F116" i="1" l="1"/>
  <c r="G116" i="1" s="1"/>
  <c r="G231" i="1"/>
  <c r="L231" i="1" s="1"/>
  <c r="K231" i="1" l="1"/>
  <c r="H231" i="1"/>
  <c r="N231" i="1" s="1"/>
  <c r="E233" i="1" s="1"/>
  <c r="P233" i="1" s="1"/>
  <c r="K116" i="1"/>
  <c r="J116" i="1"/>
  <c r="M116" i="1"/>
  <c r="L116" i="1"/>
  <c r="H116" i="1"/>
  <c r="N116" i="1" s="1"/>
  <c r="J231" i="1"/>
  <c r="M231" i="1"/>
  <c r="I231" i="1" l="1"/>
  <c r="P231" i="1" s="1"/>
  <c r="I116" i="1"/>
  <c r="P116" i="1" s="1"/>
  <c r="G159" i="1" l="1"/>
  <c r="I159" i="1" s="1"/>
  <c r="P159" i="1" s="1"/>
  <c r="G188" i="1" l="1"/>
  <c r="I188" i="1" s="1"/>
  <c r="P188" i="1" s="1"/>
  <c r="G187" i="1"/>
  <c r="L187" i="1" l="1"/>
  <c r="H187" i="1"/>
  <c r="J187" i="1"/>
  <c r="M187" i="1"/>
  <c r="K187" i="1"/>
  <c r="I187" i="1" l="1"/>
  <c r="N187" i="1"/>
  <c r="P187" i="1" l="1"/>
  <c r="G200" i="1" l="1"/>
  <c r="L200" i="1" s="1"/>
  <c r="K200" i="1" l="1"/>
  <c r="H200" i="1"/>
  <c r="I200" i="1" s="1"/>
  <c r="M200" i="1"/>
  <c r="J200" i="1"/>
  <c r="N200" i="1" l="1"/>
  <c r="F78" i="1"/>
  <c r="G78" i="1" s="1"/>
  <c r="G77" i="1"/>
  <c r="K77" i="1" s="1"/>
  <c r="G76" i="1"/>
  <c r="L76" i="1" s="1"/>
  <c r="G75" i="1"/>
  <c r="I75" i="1" s="1"/>
  <c r="P75" i="1" s="1"/>
  <c r="F74" i="1"/>
  <c r="G74" i="1" l="1"/>
  <c r="H74" i="1" s="1"/>
  <c r="N74" i="1" s="1"/>
  <c r="P200" i="1"/>
  <c r="E201" i="1"/>
  <c r="P201" i="1" s="1"/>
  <c r="J76" i="1"/>
  <c r="J77" i="1"/>
  <c r="H77" i="1"/>
  <c r="I77" i="1" s="1"/>
  <c r="M76" i="1"/>
  <c r="L74" i="1"/>
  <c r="K74" i="1"/>
  <c r="J74" i="1"/>
  <c r="M74" i="1"/>
  <c r="K78" i="1"/>
  <c r="J78" i="1"/>
  <c r="H78" i="1"/>
  <c r="N78" i="1" s="1"/>
  <c r="K76" i="1"/>
  <c r="H76" i="1"/>
  <c r="I74" i="1" l="1"/>
  <c r="P74" i="1" s="1"/>
  <c r="N77" i="1"/>
  <c r="N76" i="1"/>
  <c r="I76" i="1"/>
  <c r="I78" i="1"/>
  <c r="P78" i="1" s="1"/>
  <c r="P77" i="1" l="1"/>
  <c r="E80" i="1"/>
  <c r="P80" i="1" s="1"/>
  <c r="P76" i="1"/>
  <c r="G43" i="1" l="1"/>
  <c r="K43" i="1" s="1"/>
  <c r="H43" i="1" l="1"/>
  <c r="N43" i="1" s="1"/>
  <c r="E44" i="1" s="1"/>
  <c r="P44" i="1" s="1"/>
  <c r="J43" i="1"/>
  <c r="I43" i="1" l="1"/>
  <c r="P43" i="1" s="1"/>
  <c r="G210" i="1" l="1"/>
  <c r="M210" i="1" s="1"/>
  <c r="H210" i="1" l="1"/>
  <c r="N210" i="1" s="1"/>
  <c r="E211" i="1" s="1"/>
  <c r="P211" i="1" s="1"/>
  <c r="L210" i="1"/>
  <c r="J210" i="1"/>
  <c r="K210" i="1"/>
  <c r="F91" i="1"/>
  <c r="G91" i="1" s="1"/>
  <c r="G88" i="1"/>
  <c r="L88" i="1" s="1"/>
  <c r="G87" i="1"/>
  <c r="M87" i="1" s="1"/>
  <c r="F86" i="1"/>
  <c r="G86" i="1" l="1"/>
  <c r="M86" i="1" s="1"/>
  <c r="M88" i="1"/>
  <c r="I210" i="1"/>
  <c r="P210" i="1" s="1"/>
  <c r="K91" i="1"/>
  <c r="J91" i="1"/>
  <c r="H91" i="1"/>
  <c r="N91" i="1" s="1"/>
  <c r="H87" i="1"/>
  <c r="N87" i="1" s="1"/>
  <c r="J86" i="1"/>
  <c r="H88" i="1"/>
  <c r="N88" i="1" s="1"/>
  <c r="K86" i="1"/>
  <c r="J87" i="1"/>
  <c r="L86" i="1"/>
  <c r="K87" i="1"/>
  <c r="J88" i="1"/>
  <c r="L87" i="1"/>
  <c r="K88" i="1"/>
  <c r="H86" i="1" l="1"/>
  <c r="N86" i="1" s="1"/>
  <c r="E92" i="1"/>
  <c r="P92" i="1" s="1"/>
  <c r="I87" i="1"/>
  <c r="P87" i="1" s="1"/>
  <c r="I88" i="1"/>
  <c r="P88" i="1" s="1"/>
  <c r="I91" i="1"/>
  <c r="P91" i="1" s="1"/>
  <c r="G114" i="1"/>
  <c r="K114" i="1" s="1"/>
  <c r="I86" i="1" l="1"/>
  <c r="P86" i="1" s="1"/>
  <c r="M114" i="1"/>
  <c r="L114" i="1"/>
  <c r="H114" i="1"/>
  <c r="N114" i="1" s="1"/>
  <c r="E117" i="1" s="1"/>
  <c r="P117" i="1" s="1"/>
  <c r="G164" i="1"/>
  <c r="M164" i="1" s="1"/>
  <c r="H164" i="1" l="1"/>
  <c r="N164" i="1" s="1"/>
  <c r="E167" i="1" s="1"/>
  <c r="P167" i="1" s="1"/>
  <c r="L164" i="1"/>
  <c r="I114" i="1"/>
  <c r="J164" i="1"/>
  <c r="K164" i="1"/>
  <c r="I164" i="1" l="1"/>
  <c r="P164" i="1" s="1"/>
  <c r="J114" i="1"/>
  <c r="P114" i="1" s="1"/>
  <c r="G205" i="1"/>
  <c r="M205" i="1" s="1"/>
  <c r="N205" i="1" l="1"/>
  <c r="J205" i="1"/>
  <c r="K205" i="1"/>
  <c r="E206" i="1" l="1"/>
  <c r="P206" i="1" s="1"/>
  <c r="I205" i="1"/>
  <c r="P205" i="1" s="1"/>
</calcChain>
</file>

<file path=xl/sharedStrings.xml><?xml version="1.0" encoding="utf-8"?>
<sst xmlns="http://schemas.openxmlformats.org/spreadsheetml/2006/main" count="406" uniqueCount="292">
  <si>
    <t>Amount</t>
  </si>
  <si>
    <t>UTR</t>
  </si>
  <si>
    <t>Hold Amount for quantity more than DPR</t>
  </si>
  <si>
    <t>Parbeen Enterprises</t>
  </si>
  <si>
    <t>28-06-2023 IFT/IFT23179012451/RIUP23/924/PARBEEN ENTERPRISES 198000.00</t>
  </si>
  <si>
    <t>GST Release Note</t>
  </si>
  <si>
    <t xml:space="preserve">Badai Kalan Village Pipe laying work </t>
  </si>
  <si>
    <t>11 &amp; 18</t>
  </si>
  <si>
    <t>12-08-2022 IFT/IFT22224037052/RIUP22/509/PARBEEN ENTERPRISES 99000.00</t>
  </si>
  <si>
    <t>24-08-2022 IFT/IFT22236053370/RIUP22/599/PARBEEN ENTERPRISES 99000.00</t>
  </si>
  <si>
    <t>03-09-2022 IFT/IFT22246004290/RIUP22/664/PARBEEN ENTERPRISES 198000.00</t>
  </si>
  <si>
    <t>12-10-2022 IFT/IFT22285026938/RIUP22/978/PARBEEN ENTERPRISES 396000.00</t>
  </si>
  <si>
    <t>25-11-2022 IFT/IFT22285028265/RIUP22/1348/PARBEEN ENTERPRISES 297000.00</t>
  </si>
  <si>
    <t>21-04-2023 IFT/IFT23111024133/SPUP23/0232/PARBEEN ENTERPRISE 148500.00</t>
  </si>
  <si>
    <t>Raee Village Pipe laying work.</t>
  </si>
  <si>
    <t>07-09-2022 IFT/IFT22250123559/RIUP22/700/PARBEEN ENTERPRISES 99000.00</t>
  </si>
  <si>
    <t>04-10-2022 IFT/IFT22277021292/RIUP22/894/PARBEEN ENTERPRISES 297000.00</t>
  </si>
  <si>
    <t>21-10-2022 IFT/IFT22294141560/RIUP22/1081/PARBEEN ENTERPRISE 396000.00</t>
  </si>
  <si>
    <t>05-11-2022 IFT/IFT22309018097/RIUP22/1174/PARBEEN ENTERPRISE 140679.00</t>
  </si>
  <si>
    <t>18-01-2023 IFT/IFT23018004985/RIUP22/1888/PARBEEN ENTERPRISE ₹ 1,48,500.00</t>
  </si>
  <si>
    <t>06-05-2023 IFT/IFT23126013964/RIUP23/102/PARBEEN ENTERPRISES 241927.00</t>
  </si>
  <si>
    <t>15-06-2023 IFT/IFT23166060278/RIUP23/668/PARBEEN ENTERPRISES 198000.00</t>
  </si>
  <si>
    <t>21-06-2023 IFT/IFT23172016602/RIUP23/773/PARBEEN ENTERPRISES 198000.00</t>
  </si>
  <si>
    <t>Parai Village Pipe laying work.</t>
  </si>
  <si>
    <t>14-09-2022 IFT/IFT22257020846/RIUP22/734/PARBEEN ENTERPRISES 99000.00</t>
  </si>
  <si>
    <t>04-10-2022 IFT/IFT22277021293/RIUP22/893/PARBEEN ENTERPRISES 198000.00</t>
  </si>
  <si>
    <t>21-10-2022 IFT/IFT22294141561/RIUP22/1086/PARBEEN ENTERPRISE 297000.00</t>
  </si>
  <si>
    <t>06-02-2023 IFT/IFT23037061111/RIUP22/2104/PARBEEN ENTERPRISE 99000.0</t>
  </si>
  <si>
    <t>21-06-2023 IFT/IFT23172016601/RIUP23/772/PARBEEN ENTERPRISES 198000.0</t>
  </si>
  <si>
    <t>Badh Village Pipe laying work.</t>
  </si>
  <si>
    <t>07-09-2022 IFT/IFT22250123557/RIUP22/699/PARBEEN ENTERPRISES 99000.00</t>
  </si>
  <si>
    <t>18-11-2022 IFT/IFT22322010381/RIUP22/1283/PARBEEN ENTERPRISE 207615.00</t>
  </si>
  <si>
    <t>06-05-2023 IFT/IFT23126059419/RIUP23/057/PARBEEN ENTERPRISES 132468.00</t>
  </si>
  <si>
    <t>13-06-2023 IFT/IFT23164043534/RIUP23/650/PARBEEN ENTERPRISES 198000.00</t>
  </si>
  <si>
    <t>06-05-2023 IFT/IFT23126059420/RIUP23/059/PARBEEN ENTERPRISES 77439.00</t>
  </si>
  <si>
    <t>Badhai Khurd Village Pipe laying work.</t>
  </si>
  <si>
    <t>GST release Note</t>
  </si>
  <si>
    <t>07-09-2022 IFT/IFT22250123558/RIUP22/701/PARBEEN ENTERPRISES 99000.00</t>
  </si>
  <si>
    <t>12-10-2022 IFT/IFT22285010488/RIUP22/958/PARBEEN ENTERPRISES 495000.00</t>
  </si>
  <si>
    <t>07-12-2022 IFT/IFT22341084519/RIUP22/1427/PARBEEN ENTERPRISE 148500.00</t>
  </si>
  <si>
    <t>18-01-2023 IFT/IFT23018004987/RIUP22/1890/PARBEEN ENTERPRISE ₹ 99,000.00</t>
  </si>
  <si>
    <t>29-05-2023 IFT/IFT23149016401/RIUP23/428/PARBEEN ENTERPRISES 102127.00</t>
  </si>
  <si>
    <t>13-06-2023 IFT/IFT23164043535/RIUP23/647/PARBEEN ENTERPRISES 198000.00</t>
  </si>
  <si>
    <t>Pavti khurdi Village Pipe laying work.</t>
  </si>
  <si>
    <t>23-09-2022 IFT/IFT22266024035/RIUP22/806/PARBEEN ENTERPRISES ₹ 1,48,500.00</t>
  </si>
  <si>
    <t>01-11-2022 IFT/IFT22305094402/RIUP22/1152/PARBEEN ENTERPRISE 148500.00</t>
  </si>
  <si>
    <t>04-01-2023 IFT/IFT23004035324/RIUP22/1734/PARBEEN ENTERPRISE 58808.0</t>
  </si>
  <si>
    <t>29-04-2023 29-04-2023 IFT/IFT23119170207/SPUP23/0336/PARBEEN ENTERPRISE 491789.00</t>
  </si>
  <si>
    <t>15-06-2023 IFT/IFT23166067178/RIUP23/680/PARBEEN ENTERPRISES 148500.00</t>
  </si>
  <si>
    <t>Tajpur Village Pipe laying work.</t>
  </si>
  <si>
    <t>23-09-2022 IFT/IFT22266024037/RIUP22/807/PARBEEN ENTERPRISES ₹ 99,000.00</t>
  </si>
  <si>
    <t>03-01-2023 IFT/IFT23003021719/RIUP22/1751/PARBEEN ENTERPRISE 400361.00</t>
  </si>
  <si>
    <t>Haibatpur Village Pipe laying work.</t>
  </si>
  <si>
    <t>23-09-2022 IFT/IFT22266024038/RIUP22/808/PARBEEN ENTERPRISES ₹ 1,48,500.00</t>
  </si>
  <si>
    <t>21-10-2022 IFT/IFT22294141559/RIUP22/1080/PARBEEN ENTERPRISE 247500.00</t>
  </si>
  <si>
    <t>01-11-2022 IFT/IFT22305094401/RIUP22/1151/PARBEEN ENTERPRISE 198000.00</t>
  </si>
  <si>
    <t>18-01-2023 IFT/IFT23018004986/RIUP22/1889/PARBEEN ENTERPRISE ₹ 1,98,000.00</t>
  </si>
  <si>
    <t xml:space="preserve">Bhudhakhera Village Pipe laying work </t>
  </si>
  <si>
    <t>14-11-2022 IFT/IFT22318014481/RIUP22/1242/PARBEEN ENTERPRISE 148500.00</t>
  </si>
  <si>
    <t>23-12-2022 IFT/IFT22357036308/RIUP22/1617/PARBEEN ENTERPRISE 396000.00</t>
  </si>
  <si>
    <t>04-01-2023 IFT/IFT23004035325/RIUP22/1735/PARBEEN ENTERPRISE 40820.00</t>
  </si>
  <si>
    <t>04-01-2023 IFT/IFT23004035323/RIUP22/1781/PARBEEN ENTERPRISE 59400.00</t>
  </si>
  <si>
    <t xml:space="preserve">04-01-2023 IFT/IFT23004035325/RIUP22/1735/PARBEEN ENTERPRISE 40820.00
</t>
  </si>
  <si>
    <t>25-01-2023 IFT/IFT23025035639/RIUP22/2000/PARBEEN ENTERPRISE 99000.00</t>
  </si>
  <si>
    <t>28-02-2023 IFT/IFT23059052169/RIUP22/2356/PARBEEN ENTERPRISE 495000.00</t>
  </si>
  <si>
    <t>14-11-2022 IFT/IFT22318014482/RIUP22/1243/PARBEEN ENTERPRISE 99000.00</t>
  </si>
  <si>
    <t>17-12-2022 IFT/IFT22351012621/RIUP22/1546/PARBEEN ENTERPRISE 297000.00</t>
  </si>
  <si>
    <t>04-01-2023 IFT/IFT23004029098/RIUP22/1784/PARBEEN ENTERPRISE ₹ 1,48,500.00</t>
  </si>
  <si>
    <t xml:space="preserve">Sikanderpur Village Pipe laying work </t>
  </si>
  <si>
    <t>14-11-2022 IFT/IFT22318014483/RIUP22/1244/PARBEEN ENTERPRISE 99000.00</t>
  </si>
  <si>
    <t>17-12-2022 IFT/IFT22351012622/RIUP22/1547/PARBEEN ENTERPRISE 148500.00</t>
  </si>
  <si>
    <t>17-01-2023 IFT/IFT23017028490/RIUP22/1887/PARBEEN ENTERPRISE 198000.00</t>
  </si>
  <si>
    <t>28-02-2023 IFT/IFT23059052170/RIUP22/2341/PARBEEN ENTERPRISE 495000.00</t>
  </si>
  <si>
    <t xml:space="preserve">nirgajani Village Pipe laying work </t>
  </si>
  <si>
    <t>14-11-2022 IFT/IFT22318014484/RIUP22/1245/PARBEEN ENTERPRISE 148500.00</t>
  </si>
  <si>
    <t>13-04-2023 13-04-2023 IFT/IFT23103050666/SPUP23/0117A/PARBEEN ENTERPRIS 198000.00</t>
  </si>
  <si>
    <t>06-05-2023 IFT/IFT23126074002/SPUP23/0309/PARBEEN ENTERPRISE 162245.00</t>
  </si>
  <si>
    <t xml:space="preserve">ratanpuri Village Pipe laying work </t>
  </si>
  <si>
    <t>30-01-2023 IFT/IFT23030052375/RIUP22/2042/PARBEEN ENTERPRISE ₹ 4,95,000.00</t>
  </si>
  <si>
    <t>21-04-2023 IFT/IFT23111024138/SPUP23/0233/PARBEEN ENTERPRISE 99000.00</t>
  </si>
  <si>
    <t>29-04-2023 29-04-2023 IFT/IFT23119170205/SPUP23/0339/PARBEEN ENTERPRISE 190536.00</t>
  </si>
  <si>
    <t>16-02-2023 IFT/IFT23047034060/RIUP22/2189/PARBEEN ENTERPRISE ₹ 1,98,000.00</t>
  </si>
  <si>
    <t>16-02-2023 IFT/IFT23047034061/RIUP22/2190/PARBEEN ENTERPRISE ₹ 2,97,000.00</t>
  </si>
  <si>
    <t>13-04-2023 13-04-2023 IFT/IFT23103050665/SPUP23/0117/PARBEEN ENTERPRISE 297000.00</t>
  </si>
  <si>
    <t>27-04-2023 IFT/IFT23117052101/SPUP23/0287/PARBEEN ENTERPRISE 43756.00</t>
  </si>
  <si>
    <t>25-05-2023 IFT/IFT23145024434/RIUP23/401/PARBEEN ENTERPRISES 247500.00</t>
  </si>
  <si>
    <t xml:space="preserve">safipur patii Village Pipe laying work </t>
  </si>
  <si>
    <t>Hold Amount Release Note</t>
  </si>
  <si>
    <t>16-02-2023 IFT/IFT23047034062/RIUP22/2191/PARBEEN ENTERPRISE ₹ 2,97,000.00</t>
  </si>
  <si>
    <t>29-04-2023 29-04-2023 IFT/IFT23119170206/SPUP23/0338/PARBEEN ENTERPRISE 898665.00</t>
  </si>
  <si>
    <t>29-05-2023 IFT/IFT23149016403/RIUP23/436/PARBEEN ENTERPRISES 346500.00</t>
  </si>
  <si>
    <t xml:space="preserve">Gyanmazra Village Pipe laying work </t>
  </si>
  <si>
    <t>16-02-2023 IFT/IFT23047034063/RIUP22/2192/PARBEEN ENTERPRISE ₹ 1,98,000.00</t>
  </si>
  <si>
    <t>2023 April 07 -------------- Parbeen Enterprise ------------- Rs. 3,00,000 ----------- /IFT23097022709</t>
  </si>
  <si>
    <t>27-04-2023 IFT/IFT23117052100/SPUP23/0308/PARBEEN ENTERPRISE 276417.00</t>
  </si>
  <si>
    <t>25-05-2023 IFT/IFT23145024432/RIUP23/400/PARBEEN ENTERPRISES 247500.00</t>
  </si>
  <si>
    <t>12-05-2023 IFT/IFT23132035635/RIUP23/221/PARBEEN ENTERPRISES 373691.00</t>
  </si>
  <si>
    <t>27-06-2023 IFT/IFT23178022095/RIUP23/915/PARBEEN ENTERPRISES 297000.00</t>
  </si>
  <si>
    <t>Bannagar village pipe laying work</t>
  </si>
  <si>
    <t>28-07-2023 IFT/IFT23209041732/RIUP23/1268/PARBEEN ENTERPRISE ₹ 2,46,529.00</t>
  </si>
  <si>
    <t>24-07-2023 IFT/IFT23205042119/RIUP23/1124/PARBEEN ENTERPRISE 555144.00</t>
  </si>
  <si>
    <t>06-07-2023 IFT/IFT23187052839/RIUP23/935/PARBEEN ENTERPRISES 245656.00</t>
  </si>
  <si>
    <t>12-09-2023 IFT/IFT23255016185/RIUP23/1967/PARBEEN ENTERPRISE 97020.00</t>
  </si>
  <si>
    <t>02-08-2023 IFT/IFT23214024164/RIUP23/1279/PARBEEN ENTERPRISE ₹ 86,130.00</t>
  </si>
  <si>
    <t>12-09-2023 IFT/IFT23255016186/RIUP23/1968/PARBEEN ENTERPRISE 117810.00</t>
  </si>
  <si>
    <t>12-09-2023 IFT/IFT23255016181/RIUP23/1963/PARBEEN ENTERPRISE 232650.00</t>
  </si>
  <si>
    <t>12-09-2023 IFT/IFT23255016182/RIUP23/1964/PARBEEN ENTERPRISE 137610.00</t>
  </si>
  <si>
    <t>12-09-2023 IFT/IFT23255016183/RIUP23/1965/PARBEEN ENTERPRISE 207900.00</t>
  </si>
  <si>
    <t>12-09-2023 IFT/IFT23255016184/RIUP23/1966/PARBEEN ENTERPRISE 177210.00</t>
  </si>
  <si>
    <t>21-04-2023 IFT/IFT23111024135/SPUP23/0231/PARBEEN ENTERPRISE 198000.00</t>
  </si>
  <si>
    <t>GST Releaae note</t>
  </si>
  <si>
    <t>14-09-2023 IFT/IFT23257021728/RIUP23/2013/PARBEEN ENTERPRISE 297000.00</t>
  </si>
  <si>
    <t>GST Release note</t>
  </si>
  <si>
    <t>31-08-2023 IFT/IFT23243083238/RIUP23/1785/PARBEEN ENTERPRISE 59468.00</t>
  </si>
  <si>
    <t>25-08-2023 IFT/IFT23237026740/RIUP23/1687/PARBEEN ENTERPRISE 1606736.00</t>
  </si>
  <si>
    <t>25-08-2023 IFT/IFT23237026741/RIUP23/1688/PARBEEN ENTERPRISE 360512.00</t>
  </si>
  <si>
    <t>13-09-2023 IFT/IFT23237458563/RIUP23/2011/PARBEEN ENTERPRISE 103950.00</t>
  </si>
  <si>
    <t>18-09-2023 IFT/IFT23261006065/RIUP23/2066/PARBEEN ENTERPRISE 344583.00</t>
  </si>
  <si>
    <t>17-10-2023 IFT/IFT23290028123/RIUP23/2704/PARBEEN ENTERPRISE 98443.00</t>
  </si>
  <si>
    <t>14-08-2023 IFT/IFT23226143737/RIUP23/1461/PARBEEN ENTERPRISE ₹ 1,38,553.00</t>
  </si>
  <si>
    <t>17-10-2023 IFT/IFT23290028122/RIUP23/2703/PARBEEN ENTERPRISE 118835.00</t>
  </si>
  <si>
    <t>18-01-2023 IFT/IFT23018004989/RIUP22/1891/PARBEEN ENTERPRISE ₹ 1,48,500.00</t>
  </si>
  <si>
    <t>28-08-2023 IFT/IFT23240055690/RIUP23/1275/PARBEEN ENTERPRISE 183728.00</t>
  </si>
  <si>
    <t>07-09-2023 IFT/IFT23250068457/RIUP23/1902/PARBEEN ENTERPRISE 198000.00</t>
  </si>
  <si>
    <t>11-10-2023 IFT/IFT23284023811/RIUP23/2441/PARBEEN ENTERPRISE 592661.00</t>
  </si>
  <si>
    <t>02-08-2023 IFT/IFT23214024165/RIUP23/1280/PARBEEN ENTERPRISE ₹ 97,756.00</t>
  </si>
  <si>
    <t>14-09-2023 IFT/IFT23257021726/RIUP23/2014/PARBEEN ENTERPRISE 198000.00</t>
  </si>
  <si>
    <t>08-08-2023 IFT/IFT23220049169/RIUP23/1276/PARBEEN ENTERPRISE 120904.00</t>
  </si>
  <si>
    <t>07-09-2023 IFT/IFT23250068456/RIUP23/1903/PARBEEN ENTERPRISE 198000.00</t>
  </si>
  <si>
    <t>17-10-2023 IFT/IFT23290028121/RIUP23/2702/PARBEEN ENTERPRISE 138509.00</t>
  </si>
  <si>
    <t>17-10-2023 IFT/IFT23290028125/RIUP23/2706/PARBEEN ENTERPRISE 178755.00</t>
  </si>
  <si>
    <t>13-10-2023 IFT/IFT23286012053/RIUP23/2491/PARBEEN ENTERPRISE 73368.00</t>
  </si>
  <si>
    <t>13-10-2023 IFT/IFT23286012051/RIUP23/2492/PARBEEN ENTERPRISE 445880.00</t>
  </si>
  <si>
    <t>17-10-2023 IFT/IFT23290028124/RIUP23/2705/PARBEEN ENTERPRISE 210262.00</t>
  </si>
  <si>
    <t>17-10-2023 IFT/IFT23290028119/RIUP23/2701/PARBEEN ENTERPRISE 235180.00</t>
  </si>
  <si>
    <t>18-09-2023 IFT/IFT23261006066/RIUP23/2068/PARBEEN ENTERPRISE 344555.00</t>
  </si>
  <si>
    <t>11-08-2023 IFT/IFT23223013907/RIUP23/1472/PARBEEN ENTERPRISE 326602.00</t>
  </si>
  <si>
    <t>18-09-2023 IFT/IFT23261006067/RIUP23/2067/PARBEEN ENTERPRISE 442762.00</t>
  </si>
  <si>
    <t>17-10-2023 IFT/IFT23290026668/RIUP23/2490/PARBEEN ENTERPRISE 321057.00</t>
  </si>
  <si>
    <t>09-11-2023 IFT/IFT23313076729/RIUP23/3151/PARBEEN ENTERPRISE 530272.00</t>
  </si>
  <si>
    <t>09-11-2023 IFT/IFT23313075545/RIUP23/3203/PARBEEN ENTERPRISE 495000.00</t>
  </si>
  <si>
    <t>24-11-2023 IFT/IFT23328055348/RIUP23/3404/PARBEEN ENTERPRISE 148500.00</t>
  </si>
  <si>
    <t>06-12-2023 IFT/IFT23340017128/RIUP23/3496/PARBEEN ENTERPRISE 422809.00</t>
  </si>
  <si>
    <t>24-11-2023 IFT/IFT23328055350/RIUP23/3403/PARBEEN ENTERPRISE 99000.00</t>
  </si>
  <si>
    <t>09-11-2023 IFT/IFT23313075546/RIUP23/3204/PARBEEN ENTERPRISE 495000.00</t>
  </si>
  <si>
    <t>22-12-2023 IFT/IFT23356020597/RIUP23/3917/PARBEEN ENTERPRISE 148500.00</t>
  </si>
  <si>
    <t>15-01-2024 IFT/IFT24015014531/RIUP23/4266/PARBEEN ENTERPRISE 247500.00</t>
  </si>
  <si>
    <t>15-01-2024 IFT/IFT24015014528/RIUP23/3980/PARBEEN ENTERPRISE 76101.00</t>
  </si>
  <si>
    <t>15-01-2024 IFT/IFT24015014529/RIUP23/3963/PARBEEN ENTERPRISE 822444.00</t>
  </si>
  <si>
    <t>06-02-2024 IFT/IFT24037067318/RIUP23/4618/PARBEEN ENTERPRISE ₹ 1,48,500.00</t>
  </si>
  <si>
    <t>06-12-2023 IFT/IFT23340066366/RIUP23/3439/PARBEEN ENTERPRISE 71775.00</t>
  </si>
  <si>
    <t>18-01-2024 IFT/IFT24018032479/RIUP23/4365/PARBEEN ENTERPRISE 99000.00</t>
  </si>
  <si>
    <t>29-02-2024 IFT/IFT24060231786/RIUP23/4921/PARBEEN ENTERPRISE ₹ 1,98,000.00</t>
  </si>
  <si>
    <t>16-02-2024 IFT/IFT24047053231/RIUP23/4728/PARBEEN ENTERPRISE 297000.00</t>
  </si>
  <si>
    <t>22-03-2024 IFT/IFT24082073040/RIUP23/5272/PARBEEN ENTERPRISE 247500.00</t>
  </si>
  <si>
    <t>16-02-2024 IFT/IFT24047053230/RIUP23/4727/PARBEEN ENTERPRISE 396000.00</t>
  </si>
  <si>
    <t>22-03-2024 IFT/IFT24082073042/RIUP23/5271/PARBEEN ENTERPRISE 247500.00</t>
  </si>
  <si>
    <t>30-03-2024 IFT/IFT24090189906/RIUP23/5343/PARBEEN ENTERPRISE 495000.00</t>
  </si>
  <si>
    <t>26-04-2024 IFT/IFT24117006567/RIUP24/0321/PARBEEN ENTERPRISE 198000.00</t>
  </si>
  <si>
    <t>26-04-2024 IFT/IFT24117006566/RIUP24/0320/PARBEEN ENTERPRISE 198000.00</t>
  </si>
  <si>
    <t>26-04-2024 IFT/IFT24117006565/RIUP24/0319/PARBEEN ENTERPRISE 198000.00</t>
  </si>
  <si>
    <t>26-04-2024 IFT/IFT24117006568/RIUP24/0322/PARBEEN ENTERPRISE 99000.00</t>
  </si>
  <si>
    <t xml:space="preserve">10, 27 </t>
  </si>
  <si>
    <t>16,31,32</t>
  </si>
  <si>
    <t>08-08-2023 IFT/IFT23220049171/RIUP23/1274/PARBEEN ENTERPRISE 74302.00</t>
  </si>
  <si>
    <t>19,29</t>
  </si>
  <si>
    <t>12,29</t>
  </si>
  <si>
    <t>9, 19</t>
  </si>
  <si>
    <t>14,25</t>
  </si>
  <si>
    <t>13, 24</t>
  </si>
  <si>
    <t>22, 7</t>
  </si>
  <si>
    <t>04-05-2024 IFT/IFT24125054154/RIUP24/0395/PARBEEN ENTERPRISE 297000.00</t>
  </si>
  <si>
    <t>22-12-2023 IFT/IFT23356037808/RIUP23/3926/PARBEEN ENTERPRISE 148500.00</t>
  </si>
  <si>
    <t>15-01-2024 IFT/IFT24015014530/RIUP23/4265/PARBEEN ENTERPRISE 49500.00</t>
  </si>
  <si>
    <t>17-05-2024 IFT/IFT24138018963/RIUP24/0554/PARBEEN ENTERPRISE 99000.00</t>
  </si>
  <si>
    <t>17-05-2024 IFT/IFT24138018964/RIUP24/0555/PARBEEN ENTERPRISE 99000.00</t>
  </si>
  <si>
    <t>17-05-2024 IFT/IFT24138018965/RIUP24/0556/PARBEEN ENTERPRISE 99000.00</t>
  </si>
  <si>
    <t>10-11-2023 IFT/IFT23314061990/RIUP23/3229/PARBEEN ENTERPRISE 396000.00</t>
  </si>
  <si>
    <t>24-11-2023 IFT/IFT23328055352/RIUP23/3406/PARBEEN ENTERPRISE 49500.00</t>
  </si>
  <si>
    <t>19-12-2023 IFT/IFT23353019567/RIUP23/3671/PARBEEN ENTERPRISE 194277.00</t>
  </si>
  <si>
    <t>16-02-2024 IFT/IFT24047053228/RIUP23/4726/PARBEEN ENTERPRISE 396000.00</t>
  </si>
  <si>
    <t>20-06-2024 IFT/IFT24172008886/RIUP24/0912/PARBEEN ENTERPRISE ₹ 3,00,000.00</t>
  </si>
  <si>
    <t>05-07-2024 IFT/IFT24187068920/RIUP24/0913/PARBEEN ENTERPRISE 1000000.00</t>
  </si>
  <si>
    <t>01-06-2024 IFT/IFT24153026133/RIUP24/0687/PARBEEN ENTERPRISE 99000.00</t>
  </si>
  <si>
    <t>01-06-2024 IFT/IFT24153026132/RIUP24/0688/PARBEEN ENTERPRISE 99000.00</t>
  </si>
  <si>
    <t>18-06-2024 IFT/IFT24170084877/RIUP24/0891/PARBEEN ENTERPRISE 198000.00</t>
  </si>
  <si>
    <t>18-01-2024 IFT/IFT24018032480/RIUP23/4363/PARBEEN ENTERPRISE 247500.00</t>
  </si>
  <si>
    <t>18-01-2024 IFT/IFT24018032478/RIUP23/4364/PARBEEN ENTERPRISE 445500.00</t>
  </si>
  <si>
    <t>29-02-2024 IFT/IFT24060231784/RIUP23/4920/PARBEEN ENTERPRISE ₹ 1,98,000.00</t>
  </si>
  <si>
    <t>38, 39</t>
  </si>
  <si>
    <t>39, 40</t>
  </si>
  <si>
    <t>39 &amp; 40</t>
  </si>
  <si>
    <t>16-07-2024 IFT/IFT24198061579/RIUP24/0922/PARBEEN ENTERPRISE 684800.00</t>
  </si>
  <si>
    <t>16-07-2024 IFT/IFT24198061578/RIUP24/0914/PARBEEN ENTERPRISE 392118.00</t>
  </si>
  <si>
    <t>16-08-2024 IFT/IFT24229042936/RIUP24/1471/PARBEEN ENTERPRISE 565591.00</t>
  </si>
  <si>
    <t>02-08-2024 IFT/IFT24215054290/RIUP24/1344/PARBEEN ENTERPRISE 975958.00</t>
  </si>
  <si>
    <t>19-08-2024 IFT/IFT24232011540/RIUP24/0919/PARBEEN ENTERPRISE 125000.00</t>
  </si>
  <si>
    <t>22-12-2023 IFT/IFT23356020595/RIUP23/3916/PARBEEN ENTERPRISE 148500.00</t>
  </si>
  <si>
    <t>19-08-2024 IFT/IFT24232011541/RIUP24/0923/PARBEEN ENTERPRISE 125000.00</t>
  </si>
  <si>
    <t>29-08-2024 IFT/IFT24242064961/RIUP24/1573/PARBEEN ENTERPRISE 247500.00</t>
  </si>
  <si>
    <t>29-08-2024 IFT/IFT24242064960/RIUP24/1572/PARBEEN ENTERPRISE 247500.00</t>
  </si>
  <si>
    <t>29-08-2024 IFT/IFT24242064959/RIUP24/1571/PARBEEN ENTERPRISE 495000.00</t>
  </si>
  <si>
    <t>04-09-2024 IFT/IFT24248033723/RIUP24/1635/PARBEEN ENTERPRISE 198000.00</t>
  </si>
  <si>
    <t>04-09-2024 IFT/IFT24248033722/RIUP24/1634/PARBEEN ENTERPRISE 396000.00</t>
  </si>
  <si>
    <t>04-09-2024 IFT/IFT24248033724/RIUP24/1636/PARBEEN ENTERPRISE 396000.00</t>
  </si>
  <si>
    <t>10-09-2024 IFT/IFT24254006255/RIUP24/1716/PARBEEN ENTERPRISE 99000.00</t>
  </si>
  <si>
    <t>10-09-2024 IFT/IFT24254006256/RIUP24/1717/PARBEEN ENTERPRISE 99000.00</t>
  </si>
  <si>
    <t>10-09-2024 IFT/IFT24254006257/RIUP24/1718/PARBEEN ENTERPRISE 99000.00</t>
  </si>
  <si>
    <t>10-09-2024 IFT/IFT24254006258/RIUP24/1719/PARBEEN ENTERPRISE 99000.00</t>
  </si>
  <si>
    <t>10-09-2024 IFT/IFT24254006259/RIUP24/1720/PARBEEN ENTERPRISE 198000.00</t>
  </si>
  <si>
    <t>10-09-2024 IFT/IFT24254066939/RIUP24/1737/PARBEEN ENTERPRISE 99000.00</t>
  </si>
  <si>
    <t>5,12</t>
  </si>
  <si>
    <t>10-09-2024 IFT/IFT24254066938/RIUP24/1736/PARBEEN ENTERPRISE 99000.00</t>
  </si>
  <si>
    <t>10-09-2024 IFT/IFT24254066940/RIUP24/1738/PARBEEN ENTERPRISE 297000.00</t>
  </si>
  <si>
    <t>10-09-2024 IFT/IFT24254066942/RIUP24/1740/PARBEEN ENTERPRISE 198000.00</t>
  </si>
  <si>
    <t>10-09-2024 IFT/IFT24254066941/RIUP24/1739/PARBEEN ENTERPRISE 297000.00</t>
  </si>
  <si>
    <t>04-09-2024 IFT/IFT24248033721/RIUP24/1633/PARBEEN ENTERPRISE 396000.00</t>
  </si>
  <si>
    <t>PMC</t>
  </si>
  <si>
    <t xml:space="preserve">Amount </t>
  </si>
  <si>
    <t>18-09-2024 IFT/IFT24262033962/RIUP24/1801/PARBEEN ENTERPRISE 400000.00</t>
  </si>
  <si>
    <t>20-09-2024 IFT/IFT24264011756/RIUP24/1802/PARBEEN ENTERPRISE 400000.00</t>
  </si>
  <si>
    <t>23-09-2024 IFT/IFT24267044107/RIUP24/1900A/PARBEEN ENTERPRISE 495000.00</t>
  </si>
  <si>
    <t>27-09-2024 IFT/IFT24271021570/RIUP24/1947/PARBEEN ENTERPRISE 198000.00</t>
  </si>
  <si>
    <t>18-10-2024 IFT/IFT24292033966/RIUP24/2240/PARBEEN ENTERPRISE 396000.00</t>
  </si>
  <si>
    <t>30-10-2024 IFT/IFT24304385502/RIUP24/2388/PARBEEN ENTERPRISE 198000.00</t>
  </si>
  <si>
    <t>30-10-2024 IFT/IFT24304385501/RIUP24/2387/PARBEEN ENTERPRISE 198000.00</t>
  </si>
  <si>
    <t>14-11-2024 IFT/IFT24319018439/RIUP24/2473/PARBEEN ENTERPRISE 297000.00</t>
  </si>
  <si>
    <t>14-11-2024 IFT/IFT24319048420/RIUP24/2485/PARBEEN ENTERPRISE 297000.00</t>
  </si>
  <si>
    <t>05-12-2024 IFT/IFT24340061720/RIUP24/2651/PARBEEN ENTERPRISE 148500.00</t>
  </si>
  <si>
    <t>05-12-2024 IFT/IFT24340061719/RIUP24/2650/PARBEEN ENTERPRISE 198000.00</t>
  </si>
  <si>
    <t>23-12-2024 IFT/IFT24358031292/RIUP24/2799/PARBEEN ENTERPRISE 198000.00</t>
  </si>
  <si>
    <t>26-12-2024 Debit N/RIUP24/2798/PARBEEN ENTERP/INDBN26123786890 247500.0</t>
  </si>
  <si>
    <t>20-01-2025 IFT/IFT25020034486/RIUP24/2985/PARBEEN ENTERPRISE 198000.00</t>
  </si>
  <si>
    <t>07-02-2025 IFT/IFT25038124488/RIUP24/3131/PARBEEN ENTERPRISE 198000.00</t>
  </si>
  <si>
    <t>10-02-2025 IFT/IFT25041106860/RIUP24/3130/PARBEEN ENTERPRISE 198000.00</t>
  </si>
  <si>
    <t>14-02-2025 IFT/IFT25045004490/RIUP24/3156/PARBEEN ENTERPRISE 297000.00</t>
  </si>
  <si>
    <t>05-03-2025 IFT/IFT25064053199/RIUP24/3336/PARBEEN ENTERPRISE 247500.00</t>
  </si>
  <si>
    <t>05-03-2025 IFT/IFT25064053197/RIUP24/3335/PARBEEN ENTERPRISE 247500.00</t>
  </si>
  <si>
    <t>27-03-2025 IFT/IFT25086039667/RIUP24/3507/PARBEEN ENTERPRISE 396000.00</t>
  </si>
  <si>
    <t>31-03-2025 IFT/IFT25090121694/RIUP24/3527/PARBEEN ENTERPRISE 198000.00</t>
  </si>
  <si>
    <t>16-04-2025 IFT/IFT25106026296/RIUP25/0100/PARBEEN ENTERPRISE 198000.00</t>
  </si>
  <si>
    <t>16-04-2025 IFT/IFT25106026295/RIUP25/0099/PARBEEN ENTERPRISE 198000.00</t>
  </si>
  <si>
    <t>16-04-2025 IFT/IFT25106026294/RIUP25/0098/PARBEEN ENTERPRISE 198000.00</t>
  </si>
  <si>
    <t>24-04-2025 IFT/IFT25114037429/RIUP25/0144/PARBEEN ENTERPRISE 222750.00</t>
  </si>
  <si>
    <t>30-04-2025 IFT/IFT25120236350/RIUP25/0188/PARBEEN ENTERPRISE 247500.00</t>
  </si>
  <si>
    <t>30-04-2025 IFT/IFT25120236351/RIUP25/0189/PARBEEN ENTERPRISE 247500.00</t>
  </si>
  <si>
    <t>16-05-2025 IFT/IFT25136039824/RIUP25/0266/PARBEEN ENTERPRISE 198000.00</t>
  </si>
  <si>
    <t>16-05-2025 IFT/IFT25136039823/RIUP25/0265/PARBEEN ENTERPRISE 198000.00</t>
  </si>
  <si>
    <t>16-05-2025 IFT/IFT25136039821/RIUP25/0264/PARBEEN ENTERPRISE 99000.00</t>
  </si>
  <si>
    <t>Subcontractor:</t>
  </si>
  <si>
    <t>State:</t>
  </si>
  <si>
    <t>Uttar Pradesh</t>
  </si>
  <si>
    <t>District:</t>
  </si>
  <si>
    <t>Block:</t>
  </si>
  <si>
    <t xml:space="preserve">35 , 36 ,49 , 54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</si>
  <si>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</si>
  <si>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</si>
  <si>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</si>
  <si>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</si>
  <si>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</si>
  <si>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</si>
  <si>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</si>
  <si>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</si>
  <si>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</si>
  <si>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</si>
  <si>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</si>
  <si>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</si>
  <si>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</si>
  <si>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</si>
  <si>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</si>
  <si>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</si>
  <si>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</si>
  <si>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HANSAWALA VILLAGE  PIPE LINE WORK </t>
  </si>
  <si>
    <t>Shakarpur Village Pipe Laying Work</t>
  </si>
  <si>
    <t>SAIDPUR KALAN VILLAGE  Pipe Laying Work</t>
  </si>
  <si>
    <t xml:space="preserve"> NANHERA Village Pipe line work </t>
  </si>
  <si>
    <t xml:space="preserve">NANHERA Village Pipe line work  </t>
  </si>
  <si>
    <t xml:space="preserve">BADHIWALA Village Pipe Line Laying work </t>
  </si>
  <si>
    <t xml:space="preserve">Chamrawala Village Pipe line work </t>
  </si>
  <si>
    <t xml:space="preserve"> Harenti Salempur Village Pipe line work </t>
  </si>
  <si>
    <t xml:space="preserve"> Kalianpur Jalalpur Village Pipe line work </t>
  </si>
  <si>
    <t xml:space="preserve">Kalianpur Jalalpur Village Pipe line work </t>
  </si>
  <si>
    <t>Jalapur Village  PIPE LAYING WORK</t>
  </si>
  <si>
    <t>Jalapur Village PIPE LAYING WORK</t>
  </si>
  <si>
    <t xml:space="preserve">VILL- SUAHERI Village  PIPE LAYING WORK </t>
  </si>
  <si>
    <t>Sandhawali Village Pipeline Work</t>
  </si>
  <si>
    <t xml:space="preserve"> CHHACHRAULI Village Pipeline work </t>
  </si>
  <si>
    <t>NAGLA RAI VILLAGE Pipeline Work</t>
  </si>
  <si>
    <t>SISONA VILLAGE Pipeline Work</t>
  </si>
  <si>
    <t xml:space="preserve">VILL - LAKHNOTI Village PIPE LAYING WORK  </t>
  </si>
  <si>
    <t xml:space="preserve">VILL - NASIRPUR Village PIPE LAYING WORK </t>
  </si>
  <si>
    <t>Muzaffarnagar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</si>
</sst>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_(* #,##0_);_(* \(#,##0\);_(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3" tint="0.39997558519241921"/>
      <name val="Times New Roman"/>
      <family val="1"/>
    </font>
    <font>
      <b/>
      <sz val="14"/>
      <color theme="4" tint="-0.249977111117893"/>
      <name val="Times New Roman"/>
      <family val="1"/>
    </font>
    <font>
      <sz val="9"/>
      <color theme="1"/>
      <name val="Comic Sans MS"/>
      <family val="4"/>
    </font>
    <font>
      <b/>
      <sz val="14"/>
      <color theme="1"/>
      <name val="Calibri"/>
      <family val="2"/>
      <scheme val="minor"/>
    </font>
    <font>
      <sz val="14"/>
      <color rgb="FFFF0000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rgb="FFFF0000"/>
      <name val="Times New Roman"/>
      <family val="1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6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horizontal="center" vertical="center"/>
    </xf>
    <xf numFmtId="43" fontId="2" fillId="2" borderId="0" xfId="1" applyNumberFormat="1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2" fillId="2" borderId="0" xfId="0" applyFont="1" applyFill="1" applyAlignment="1">
      <alignment vertical="center" wrapText="1"/>
    </xf>
    <xf numFmtId="43" fontId="2" fillId="2" borderId="6" xfId="1" applyNumberFormat="1" applyFont="1" applyFill="1" applyBorder="1" applyAlignment="1">
      <alignment vertical="center"/>
    </xf>
    <xf numFmtId="0" fontId="2" fillId="3" borderId="0" xfId="0" applyFont="1" applyFill="1" applyAlignment="1">
      <alignment vertical="center"/>
    </xf>
    <xf numFmtId="43" fontId="2" fillId="3" borderId="6" xfId="1" applyNumberFormat="1" applyFont="1" applyFill="1" applyBorder="1" applyAlignment="1">
      <alignment vertical="center"/>
    </xf>
    <xf numFmtId="43" fontId="2" fillId="2" borderId="7" xfId="1" applyNumberFormat="1" applyFont="1" applyFill="1" applyBorder="1" applyAlignment="1">
      <alignment vertical="center"/>
    </xf>
    <xf numFmtId="14" fontId="2" fillId="2" borderId="0" xfId="0" applyNumberFormat="1" applyFont="1" applyFill="1" applyAlignment="1">
      <alignment horizontal="center" vertical="center"/>
    </xf>
    <xf numFmtId="14" fontId="2" fillId="2" borderId="6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6" xfId="1" applyNumberFormat="1" applyFont="1" applyFill="1" applyBorder="1" applyAlignment="1">
      <alignment horizontal="center" vertical="center"/>
    </xf>
    <xf numFmtId="9" fontId="2" fillId="3" borderId="3" xfId="1" applyNumberFormat="1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vertical="center"/>
    </xf>
    <xf numFmtId="43" fontId="2" fillId="3" borderId="6" xfId="1" applyNumberFormat="1" applyFont="1" applyFill="1" applyBorder="1" applyAlignment="1">
      <alignment vertical="center" wrapText="1"/>
    </xf>
    <xf numFmtId="14" fontId="2" fillId="3" borderId="6" xfId="1" applyNumberFormat="1" applyFont="1" applyFill="1" applyBorder="1" applyAlignment="1">
      <alignment horizontal="center" vertical="center"/>
    </xf>
    <xf numFmtId="0" fontId="2" fillId="3" borderId="6" xfId="1" applyNumberFormat="1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/>
    </xf>
    <xf numFmtId="43" fontId="6" fillId="2" borderId="6" xfId="1" applyNumberFormat="1" applyFont="1" applyFill="1" applyBorder="1" applyAlignment="1">
      <alignment vertical="center"/>
    </xf>
    <xf numFmtId="0" fontId="0" fillId="0" borderId="6" xfId="0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0" fontId="3" fillId="0" borderId="6" xfId="0" applyFont="1" applyBorder="1" applyAlignment="1">
      <alignment horizontal="center" vertical="center" wrapText="1"/>
    </xf>
    <xf numFmtId="43" fontId="6" fillId="3" borderId="6" xfId="1" applyNumberFormat="1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14" fontId="2" fillId="2" borderId="6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43" fontId="2" fillId="2" borderId="6" xfId="1" applyNumberFormat="1" applyFont="1" applyFill="1" applyBorder="1" applyAlignment="1">
      <alignment horizontal="right" vertical="center"/>
    </xf>
    <xf numFmtId="43" fontId="2" fillId="2" borderId="7" xfId="1" applyNumberFormat="1" applyFont="1" applyFill="1" applyBorder="1" applyAlignment="1">
      <alignment vertical="center" wrapText="1"/>
    </xf>
    <xf numFmtId="14" fontId="2" fillId="2" borderId="7" xfId="1" applyNumberFormat="1" applyFont="1" applyFill="1" applyBorder="1" applyAlignment="1">
      <alignment horizontal="center" vertical="center"/>
    </xf>
    <xf numFmtId="0" fontId="2" fillId="2" borderId="7" xfId="1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vertical="center"/>
    </xf>
    <xf numFmtId="43" fontId="2" fillId="2" borderId="12" xfId="1" applyNumberFormat="1" applyFont="1" applyFill="1" applyBorder="1" applyAlignment="1">
      <alignment vertical="center"/>
    </xf>
    <xf numFmtId="43" fontId="2" fillId="2" borderId="12" xfId="1" applyNumberFormat="1" applyFont="1" applyFill="1" applyBorder="1" applyAlignment="1">
      <alignment vertical="center" wrapText="1"/>
    </xf>
    <xf numFmtId="14" fontId="2" fillId="2" borderId="12" xfId="1" applyNumberFormat="1" applyFont="1" applyFill="1" applyBorder="1" applyAlignment="1">
      <alignment horizontal="center" vertical="center"/>
    </xf>
    <xf numFmtId="0" fontId="2" fillId="2" borderId="12" xfId="1" applyNumberFormat="1" applyFont="1" applyFill="1" applyBorder="1" applyAlignment="1">
      <alignment horizontal="center" vertical="center"/>
    </xf>
    <xf numFmtId="43" fontId="3" fillId="2" borderId="12" xfId="1" applyNumberFormat="1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43" fontId="2" fillId="3" borderId="3" xfId="1" applyNumberFormat="1" applyFont="1" applyFill="1" applyBorder="1" applyAlignment="1">
      <alignment vertical="center" wrapText="1"/>
    </xf>
    <xf numFmtId="14" fontId="2" fillId="3" borderId="3" xfId="1" applyNumberFormat="1" applyFont="1" applyFill="1" applyBorder="1" applyAlignment="1">
      <alignment horizontal="center" vertical="center"/>
    </xf>
    <xf numFmtId="0" fontId="2" fillId="3" borderId="3" xfId="1" applyNumberFormat="1" applyFont="1" applyFill="1" applyBorder="1" applyAlignment="1">
      <alignment horizontal="center" vertical="center"/>
    </xf>
    <xf numFmtId="43" fontId="2" fillId="3" borderId="3" xfId="1" applyNumberFormat="1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 wrapText="1"/>
    </xf>
    <xf numFmtId="9" fontId="2" fillId="2" borderId="7" xfId="1" applyNumberFormat="1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43" fontId="2" fillId="2" borderId="6" xfId="1" applyNumberFormat="1" applyFont="1" applyFill="1" applyBorder="1" applyAlignment="1">
      <alignment horizontal="center" vertical="center"/>
    </xf>
    <xf numFmtId="14" fontId="2" fillId="2" borderId="0" xfId="0" applyNumberFormat="1" applyFont="1" applyFill="1" applyAlignment="1">
      <alignment vertical="center"/>
    </xf>
    <xf numFmtId="0" fontId="2" fillId="2" borderId="6" xfId="1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43" fontId="3" fillId="2" borderId="0" xfId="1" applyNumberFormat="1" applyFont="1" applyFill="1" applyAlignment="1">
      <alignment horizontal="left" vertical="center"/>
    </xf>
    <xf numFmtId="43" fontId="8" fillId="5" borderId="6" xfId="1" applyNumberFormat="1" applyFont="1" applyFill="1" applyBorder="1" applyAlignment="1">
      <alignment vertical="center"/>
    </xf>
    <xf numFmtId="0" fontId="2" fillId="4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15" fontId="2" fillId="2" borderId="6" xfId="0" applyNumberFormat="1" applyFont="1" applyFill="1" applyBorder="1" applyAlignment="1">
      <alignment horizontal="center" vertical="center"/>
    </xf>
    <xf numFmtId="0" fontId="2" fillId="2" borderId="6" xfId="0" quotePrefix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15" fontId="9" fillId="2" borderId="6" xfId="0" applyNumberFormat="1" applyFont="1" applyFill="1" applyBorder="1" applyAlignment="1">
      <alignment horizontal="center" vertical="center"/>
    </xf>
    <xf numFmtId="0" fontId="9" fillId="2" borderId="6" xfId="0" quotePrefix="1" applyFont="1" applyFill="1" applyBorder="1" applyAlignment="1">
      <alignment horizontal="center" vertical="center"/>
    </xf>
    <xf numFmtId="43" fontId="9" fillId="2" borderId="6" xfId="1" applyNumberFormat="1" applyFont="1" applyFill="1" applyBorder="1" applyAlignment="1">
      <alignment vertical="center"/>
    </xf>
    <xf numFmtId="0" fontId="9" fillId="2" borderId="6" xfId="0" applyFont="1" applyFill="1" applyBorder="1" applyAlignment="1">
      <alignment horizontal="center" vertical="center"/>
    </xf>
    <xf numFmtId="43" fontId="10" fillId="5" borderId="6" xfId="1" applyNumberFormat="1" applyFont="1" applyFill="1" applyBorder="1" applyAlignment="1">
      <alignment vertical="center"/>
    </xf>
    <xf numFmtId="43" fontId="8" fillId="2" borderId="6" xfId="1" applyNumberFormat="1" applyFont="1" applyFill="1" applyBorder="1" applyAlignment="1">
      <alignment vertical="center"/>
    </xf>
    <xf numFmtId="43" fontId="2" fillId="2" borderId="19" xfId="1" applyNumberFormat="1" applyFont="1" applyFill="1" applyBorder="1" applyAlignment="1">
      <alignment vertical="center"/>
    </xf>
    <xf numFmtId="43" fontId="2" fillId="2" borderId="19" xfId="1" applyNumberFormat="1" applyFont="1" applyFill="1" applyBorder="1" applyAlignment="1">
      <alignment vertical="center" wrapText="1"/>
    </xf>
    <xf numFmtId="14" fontId="2" fillId="2" borderId="19" xfId="1" applyNumberFormat="1" applyFont="1" applyFill="1" applyBorder="1" applyAlignment="1">
      <alignment horizontal="center" vertical="center"/>
    </xf>
    <xf numFmtId="0" fontId="2" fillId="2" borderId="19" xfId="1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vertical="center" wrapText="1"/>
    </xf>
    <xf numFmtId="43" fontId="2" fillId="5" borderId="6" xfId="1" applyNumberFormat="1" applyFont="1" applyFill="1" applyBorder="1" applyAlignment="1">
      <alignment vertical="center"/>
    </xf>
    <xf numFmtId="0" fontId="2" fillId="5" borderId="6" xfId="0" applyFont="1" applyFill="1" applyBorder="1" applyAlignment="1">
      <alignment vertical="center"/>
    </xf>
    <xf numFmtId="43" fontId="3" fillId="5" borderId="6" xfId="1" applyNumberFormat="1" applyFont="1" applyFill="1" applyBorder="1" applyAlignment="1">
      <alignment vertical="center"/>
    </xf>
    <xf numFmtId="0" fontId="11" fillId="0" borderId="0" xfId="0" applyFont="1"/>
    <xf numFmtId="0" fontId="0" fillId="0" borderId="13" xfId="0" applyBorder="1"/>
    <xf numFmtId="43" fontId="1" fillId="5" borderId="13" xfId="1" applyNumberFormat="1" applyFont="1" applyFill="1" applyBorder="1" applyAlignment="1">
      <alignment vertical="center"/>
    </xf>
    <xf numFmtId="0" fontId="0" fillId="5" borderId="13" xfId="0" applyFill="1" applyBorder="1" applyAlignment="1">
      <alignment vertical="center"/>
    </xf>
    <xf numFmtId="0" fontId="0" fillId="5" borderId="13" xfId="0" applyFill="1" applyBorder="1"/>
    <xf numFmtId="43" fontId="0" fillId="5" borderId="13" xfId="1" applyNumberFormat="1" applyFont="1" applyFill="1" applyBorder="1" applyAlignment="1">
      <alignment vertical="center"/>
    </xf>
    <xf numFmtId="0" fontId="11" fillId="0" borderId="13" xfId="0" applyFont="1" applyBorder="1"/>
    <xf numFmtId="43" fontId="11" fillId="0" borderId="13" xfId="0" applyNumberFormat="1" applyFont="1" applyBorder="1"/>
    <xf numFmtId="43" fontId="2" fillId="2" borderId="3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 wrapText="1"/>
    </xf>
    <xf numFmtId="14" fontId="2" fillId="2" borderId="3" xfId="1" applyNumberFormat="1" applyFont="1" applyFill="1" applyBorder="1" applyAlignment="1">
      <alignment horizontal="center" vertical="center"/>
    </xf>
    <xf numFmtId="0" fontId="2" fillId="2" borderId="3" xfId="1" applyNumberFormat="1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vertical="center"/>
    </xf>
    <xf numFmtId="0" fontId="2" fillId="2" borderId="21" xfId="0" applyFont="1" applyFill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13" fillId="0" borderId="6" xfId="0" applyFont="1" applyBorder="1" applyAlignment="1">
      <alignment horizontal="center" vertical="center" wrapText="1"/>
    </xf>
    <xf numFmtId="165" fontId="2" fillId="2" borderId="6" xfId="1" applyNumberFormat="1" applyFont="1" applyFill="1" applyBorder="1" applyAlignment="1">
      <alignment vertical="center"/>
    </xf>
    <xf numFmtId="165" fontId="2" fillId="3" borderId="6" xfId="1" applyNumberFormat="1" applyFont="1" applyFill="1" applyBorder="1" applyAlignment="1">
      <alignment vertical="center"/>
    </xf>
    <xf numFmtId="165" fontId="2" fillId="2" borderId="3" xfId="1" applyNumberFormat="1" applyFont="1" applyFill="1" applyBorder="1" applyAlignment="1">
      <alignment vertical="center"/>
    </xf>
    <xf numFmtId="0" fontId="4" fillId="2" borderId="0" xfId="1" applyNumberFormat="1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vertical="center"/>
    </xf>
    <xf numFmtId="0" fontId="11" fillId="2" borderId="12" xfId="0" applyFont="1" applyFill="1" applyBorder="1" applyAlignment="1">
      <alignment horizontal="center" vertical="center" wrapText="1"/>
    </xf>
    <xf numFmtId="14" fontId="11" fillId="2" borderId="12" xfId="0" applyNumberFormat="1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164" fontId="14" fillId="2" borderId="12" xfId="1" applyFont="1" applyFill="1" applyBorder="1" applyAlignment="1">
      <alignment horizontal="center" vertical="center"/>
    </xf>
    <xf numFmtId="164" fontId="11" fillId="2" borderId="12" xfId="1" applyFont="1" applyFill="1" applyBorder="1" applyAlignment="1">
      <alignment horizontal="center" vertical="center"/>
    </xf>
    <xf numFmtId="0" fontId="4" fillId="2" borderId="10" xfId="1" applyNumberFormat="1" applyFont="1" applyFill="1" applyBorder="1" applyAlignment="1">
      <alignment horizontal="center" vertical="center"/>
    </xf>
    <xf numFmtId="43" fontId="2" fillId="2" borderId="0" xfId="1" applyNumberFormat="1" applyFont="1" applyFill="1" applyBorder="1" applyAlignment="1">
      <alignment horizontal="center" vertical="center"/>
    </xf>
    <xf numFmtId="43" fontId="7" fillId="2" borderId="4" xfId="1" applyNumberFormat="1" applyFont="1" applyFill="1" applyBorder="1" applyAlignment="1">
      <alignment horizontal="left" vertical="center"/>
    </xf>
    <xf numFmtId="43" fontId="7" fillId="2" borderId="11" xfId="1" applyNumberFormat="1" applyFont="1" applyFill="1" applyBorder="1" applyAlignment="1">
      <alignment horizontal="left" vertical="center"/>
    </xf>
    <xf numFmtId="43" fontId="7" fillId="2" borderId="4" xfId="1" applyNumberFormat="1" applyFont="1" applyFill="1" applyBorder="1" applyAlignment="1">
      <alignment horizontal="right" vertical="center"/>
    </xf>
    <xf numFmtId="43" fontId="7" fillId="2" borderId="9" xfId="1" applyNumberFormat="1" applyFont="1" applyFill="1" applyBorder="1" applyAlignment="1">
      <alignment horizontal="right" vertical="center"/>
    </xf>
    <xf numFmtId="43" fontId="7" fillId="2" borderId="2" xfId="1" applyNumberFormat="1" applyFont="1" applyFill="1" applyBorder="1" applyAlignment="1">
      <alignment horizontal="left" vertical="center"/>
    </xf>
    <xf numFmtId="43" fontId="7" fillId="2" borderId="5" xfId="1" applyNumberFormat="1" applyFont="1" applyFill="1" applyBorder="1" applyAlignment="1">
      <alignment horizontal="left" vertical="center"/>
    </xf>
    <xf numFmtId="43" fontId="7" fillId="2" borderId="8" xfId="1" applyNumberFormat="1" applyFont="1" applyFill="1" applyBorder="1" applyAlignment="1">
      <alignment horizontal="left" vertical="center"/>
    </xf>
    <xf numFmtId="43" fontId="7" fillId="2" borderId="9" xfId="1" applyNumberFormat="1" applyFont="1" applyFill="1" applyBorder="1" applyAlignment="1">
      <alignment horizontal="left" vertical="center"/>
    </xf>
    <xf numFmtId="14" fontId="3" fillId="2" borderId="17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12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W315"/>
  <sheetViews>
    <sheetView tabSelected="1" topLeftCell="J1" zoomScale="70" zoomScaleNormal="70" zoomScaleSheetLayoutView="85" workbookViewId="0">
      <pane ySplit="6" topLeftCell="A7" activePane="bottomLeft" state="frozen"/>
      <selection pane="bottomLeft" activeCell="S27" sqref="S27"/>
    </sheetView>
  </sheetViews>
  <sheetFormatPr defaultColWidth="9" defaultRowHeight="18.75" x14ac:dyDescent="0.25"/>
  <cols>
    <col min="1" max="1" width="15.28515625" style="1" customWidth="1"/>
    <col min="2" max="2" width="43" style="8" customWidth="1"/>
    <col min="3" max="3" width="16.140625" style="13" customWidth="1"/>
    <col min="4" max="4" width="17.85546875" style="15" bestFit="1" customWidth="1"/>
    <col min="5" max="5" width="20.85546875" style="1" bestFit="1" customWidth="1"/>
    <col min="6" max="6" width="21.42578125" style="1" customWidth="1"/>
    <col min="7" max="7" width="20.5703125" style="1" customWidth="1"/>
    <col min="8" max="8" width="26.140625" style="5" customWidth="1"/>
    <col min="9" max="9" width="23.28515625" style="5" customWidth="1"/>
    <col min="10" max="10" width="18.42578125" style="1" customWidth="1"/>
    <col min="11" max="13" width="23.85546875" style="1" customWidth="1"/>
    <col min="14" max="14" width="24.5703125" style="1" customWidth="1"/>
    <col min="15" max="15" width="23.7109375" style="1" bestFit="1" customWidth="1"/>
    <col min="16" max="16" width="26.85546875" style="1" customWidth="1"/>
    <col min="17" max="17" width="19.7109375" style="1" bestFit="1" customWidth="1"/>
    <col min="18" max="18" width="16.5703125" style="1" customWidth="1"/>
    <col min="19" max="19" width="19" style="1" customWidth="1"/>
    <col min="20" max="20" width="23.85546875" style="1" bestFit="1" customWidth="1"/>
    <col min="21" max="21" width="114.28515625" style="1" bestFit="1" customWidth="1"/>
    <col min="22" max="22" width="14.28515625" style="1" customWidth="1"/>
    <col min="23" max="38" width="9" style="1"/>
    <col min="39" max="39" width="59" style="1" bestFit="1" customWidth="1"/>
    <col min="40" max="40" width="9" style="1" customWidth="1"/>
    <col min="41" max="41" width="16.140625" style="1" bestFit="1" customWidth="1"/>
    <col min="42" max="16384" width="9" style="1"/>
  </cols>
  <sheetData>
    <row r="1" spans="1:75" ht="19.5" thickBot="1" x14ac:dyDescent="0.3">
      <c r="A1" s="83" t="s">
        <v>249</v>
      </c>
      <c r="B1" s="109" t="s">
        <v>3</v>
      </c>
      <c r="C1" s="109"/>
      <c r="E1" s="2"/>
      <c r="F1" s="2"/>
      <c r="G1" s="2"/>
      <c r="H1" s="3"/>
      <c r="I1" s="3"/>
    </row>
    <row r="2" spans="1:75" ht="19.5" thickBot="1" x14ac:dyDescent="0.3">
      <c r="A2" s="83" t="s">
        <v>250</v>
      </c>
      <c r="B2" t="s">
        <v>251</v>
      </c>
      <c r="C2"/>
      <c r="D2" s="109"/>
      <c r="E2" s="109"/>
      <c r="G2" s="4"/>
      <c r="H2" s="110"/>
      <c r="I2" s="110"/>
    </row>
    <row r="3" spans="1:75" ht="19.5" thickBot="1" x14ac:dyDescent="0.3">
      <c r="A3" s="83" t="s">
        <v>252</v>
      </c>
      <c r="B3" t="s">
        <v>291</v>
      </c>
      <c r="C3"/>
      <c r="D3" s="102"/>
      <c r="E3" s="102"/>
      <c r="G3" s="4"/>
      <c r="H3" s="4"/>
      <c r="I3" s="4"/>
    </row>
    <row r="4" spans="1:75" ht="19.5" thickBot="1" x14ac:dyDescent="0.3">
      <c r="A4" s="83" t="s">
        <v>253</v>
      </c>
      <c r="B4" t="s">
        <v>291</v>
      </c>
      <c r="C4"/>
      <c r="D4" s="16"/>
      <c r="E4" s="6"/>
      <c r="H4" s="3"/>
      <c r="I4" s="3"/>
      <c r="Q4" s="58"/>
      <c r="R4" s="7"/>
      <c r="S4" s="7"/>
      <c r="T4" s="7"/>
      <c r="U4" s="7"/>
    </row>
    <row r="5" spans="1:75" s="8" customFormat="1" ht="110.25" customHeight="1" x14ac:dyDescent="0.25">
      <c r="A5" s="103" t="s">
        <v>255</v>
      </c>
      <c r="B5" s="104" t="s">
        <v>256</v>
      </c>
      <c r="C5" s="105" t="s">
        <v>257</v>
      </c>
      <c r="D5" s="106" t="s">
        <v>258</v>
      </c>
      <c r="E5" s="104" t="s">
        <v>259</v>
      </c>
      <c r="F5" s="104" t="s">
        <v>260</v>
      </c>
      <c r="G5" s="106" t="s">
        <v>261</v>
      </c>
      <c r="H5" s="107" t="s">
        <v>262</v>
      </c>
      <c r="I5" s="108" t="s">
        <v>0</v>
      </c>
      <c r="J5" s="104" t="s">
        <v>263</v>
      </c>
      <c r="K5" s="104" t="s">
        <v>264</v>
      </c>
      <c r="L5" s="104" t="s">
        <v>265</v>
      </c>
      <c r="M5" s="104" t="s">
        <v>266</v>
      </c>
      <c r="N5" s="104" t="s">
        <v>267</v>
      </c>
      <c r="O5" s="19" t="s">
        <v>2</v>
      </c>
      <c r="P5" s="104" t="s">
        <v>268</v>
      </c>
      <c r="Q5" s="19"/>
      <c r="R5" s="104" t="s">
        <v>269</v>
      </c>
      <c r="S5" s="104" t="s">
        <v>270</v>
      </c>
      <c r="T5" s="104" t="s">
        <v>271</v>
      </c>
      <c r="U5" s="104" t="s">
        <v>1</v>
      </c>
    </row>
    <row r="6" spans="1:75" ht="19.5" thickBot="1" x14ac:dyDescent="0.3">
      <c r="A6" s="43"/>
      <c r="B6" s="40"/>
      <c r="C6" s="41"/>
      <c r="D6" s="42"/>
      <c r="E6" s="12"/>
      <c r="F6" s="12"/>
      <c r="G6" s="12"/>
      <c r="H6" s="55">
        <v>0.18</v>
      </c>
      <c r="I6" s="12"/>
      <c r="J6" s="55">
        <v>0.01</v>
      </c>
      <c r="K6" s="55">
        <v>0.05</v>
      </c>
      <c r="L6" s="55">
        <v>0.05</v>
      </c>
      <c r="M6" s="55">
        <v>0.1</v>
      </c>
      <c r="N6" s="55">
        <v>0.18</v>
      </c>
      <c r="O6" s="55"/>
      <c r="P6" s="12"/>
      <c r="Q6" s="56"/>
      <c r="R6" s="12"/>
      <c r="S6" s="55">
        <v>0.01</v>
      </c>
      <c r="T6" s="12"/>
      <c r="U6" s="12"/>
    </row>
    <row r="7" spans="1:75" s="10" customFormat="1" x14ac:dyDescent="0.25">
      <c r="A7" s="49"/>
      <c r="B7" s="50"/>
      <c r="C7" s="51"/>
      <c r="D7" s="52"/>
      <c r="E7" s="53"/>
      <c r="F7" s="53"/>
      <c r="G7" s="53"/>
      <c r="H7" s="18"/>
      <c r="I7" s="53"/>
      <c r="J7" s="18"/>
      <c r="K7" s="18"/>
      <c r="L7" s="18"/>
      <c r="M7" s="18"/>
      <c r="N7" s="18"/>
      <c r="O7" s="18"/>
      <c r="P7" s="53"/>
      <c r="Q7" s="54">
        <f>A8</f>
        <v>0</v>
      </c>
      <c r="R7" s="53"/>
      <c r="S7" s="18"/>
      <c r="T7" s="53"/>
      <c r="U7" s="53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</row>
    <row r="8" spans="1:75" x14ac:dyDescent="0.25">
      <c r="A8" s="20"/>
      <c r="B8" s="21"/>
      <c r="C8" s="14"/>
      <c r="D8" s="17"/>
      <c r="E8" s="9"/>
      <c r="F8" s="9"/>
      <c r="G8" s="9"/>
      <c r="H8" s="9"/>
      <c r="I8" s="9"/>
      <c r="J8" s="9"/>
      <c r="K8" s="9"/>
      <c r="L8" s="9"/>
      <c r="M8" s="9"/>
      <c r="N8" s="63"/>
      <c r="O8" s="9"/>
      <c r="P8" s="9"/>
      <c r="Q8" s="22"/>
      <c r="R8" s="9"/>
      <c r="S8" s="9"/>
      <c r="T8" s="9"/>
      <c r="U8" s="28"/>
    </row>
    <row r="9" spans="1:75" x14ac:dyDescent="0.25">
      <c r="A9" s="20"/>
      <c r="B9" s="21"/>
      <c r="C9" s="14"/>
      <c r="D9" s="17"/>
      <c r="E9" s="9"/>
      <c r="F9" s="9"/>
      <c r="G9" s="9"/>
      <c r="H9" s="9"/>
      <c r="I9" s="9"/>
      <c r="J9" s="9"/>
      <c r="K9" s="9"/>
      <c r="L9" s="9"/>
      <c r="M9" s="9"/>
      <c r="N9" s="63"/>
      <c r="O9" s="9"/>
      <c r="P9" s="9"/>
      <c r="Q9" s="22"/>
      <c r="R9" s="9"/>
      <c r="S9" s="9"/>
      <c r="T9" s="9"/>
      <c r="U9" s="28"/>
    </row>
    <row r="10" spans="1:75" x14ac:dyDescent="0.25">
      <c r="A10" s="20"/>
      <c r="B10" s="21"/>
      <c r="C10" s="14"/>
      <c r="D10" s="17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63"/>
      <c r="Q10" s="22"/>
      <c r="R10" s="9"/>
      <c r="S10" s="9"/>
      <c r="T10" s="9"/>
      <c r="U10" s="28"/>
    </row>
    <row r="11" spans="1:75" x14ac:dyDescent="0.25">
      <c r="A11" s="20"/>
      <c r="B11" s="21"/>
      <c r="C11" s="14"/>
      <c r="D11" s="17"/>
      <c r="E11" s="9"/>
      <c r="F11" s="9"/>
      <c r="G11" s="9"/>
      <c r="H11" s="9"/>
      <c r="I11" s="9"/>
      <c r="J11" s="9"/>
      <c r="K11" s="9"/>
      <c r="L11" s="9"/>
      <c r="M11" s="9"/>
      <c r="N11" s="63"/>
      <c r="O11" s="9"/>
      <c r="P11" s="9"/>
      <c r="Q11" s="22"/>
      <c r="R11" s="9"/>
      <c r="S11" s="9"/>
      <c r="T11" s="9"/>
      <c r="U11" s="28"/>
    </row>
    <row r="12" spans="1:75" x14ac:dyDescent="0.25">
      <c r="A12" s="20"/>
      <c r="B12" s="21"/>
      <c r="C12" s="14"/>
      <c r="D12" s="17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63"/>
      <c r="Q12" s="22"/>
      <c r="R12" s="9"/>
      <c r="S12" s="9"/>
      <c r="T12" s="9"/>
      <c r="U12" s="28"/>
    </row>
    <row r="13" spans="1:75" x14ac:dyDescent="0.25">
      <c r="A13" s="20"/>
      <c r="B13" s="21"/>
      <c r="C13" s="14"/>
      <c r="D13" s="17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63"/>
      <c r="Q13" s="22"/>
      <c r="R13" s="9"/>
      <c r="S13" s="9"/>
      <c r="T13" s="9"/>
      <c r="U13" s="28"/>
    </row>
    <row r="14" spans="1:75" x14ac:dyDescent="0.25">
      <c r="A14" s="20"/>
      <c r="B14" s="21"/>
      <c r="C14" s="14"/>
      <c r="D14" s="17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22"/>
      <c r="R14" s="9"/>
      <c r="S14" s="9"/>
      <c r="T14" s="9"/>
      <c r="U14" s="28"/>
    </row>
    <row r="15" spans="1:75" x14ac:dyDescent="0.25">
      <c r="A15" s="20"/>
      <c r="B15" s="21"/>
      <c r="C15" s="14"/>
      <c r="D15" s="17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22"/>
      <c r="R15" s="9"/>
      <c r="S15" s="9"/>
      <c r="T15" s="9"/>
      <c r="U15" s="28"/>
    </row>
    <row r="16" spans="1:75" x14ac:dyDescent="0.25">
      <c r="A16" s="20"/>
      <c r="B16" s="21"/>
      <c r="C16" s="14"/>
      <c r="D16" s="17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22"/>
      <c r="R16" s="9"/>
      <c r="S16" s="9"/>
      <c r="T16" s="9"/>
      <c r="U16" s="28"/>
    </row>
    <row r="17" spans="1:75" x14ac:dyDescent="0.25">
      <c r="A17" s="20"/>
      <c r="B17" s="21"/>
      <c r="C17" s="14"/>
      <c r="D17" s="17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22"/>
      <c r="R17" s="9"/>
      <c r="S17" s="9"/>
      <c r="T17" s="9"/>
      <c r="U17" s="28"/>
    </row>
    <row r="18" spans="1:75" x14ac:dyDescent="0.25">
      <c r="A18" s="20"/>
      <c r="B18" s="21"/>
      <c r="C18" s="14"/>
      <c r="D18" s="17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22"/>
      <c r="R18" s="9"/>
      <c r="S18" s="9"/>
      <c r="T18" s="80"/>
      <c r="U18" s="81"/>
    </row>
    <row r="19" spans="1:75" x14ac:dyDescent="0.25">
      <c r="A19" s="20"/>
      <c r="B19" s="21"/>
      <c r="C19" s="14"/>
      <c r="D19" s="17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22"/>
      <c r="R19" s="9"/>
      <c r="S19" s="9"/>
      <c r="T19" s="9"/>
      <c r="U19" s="28"/>
    </row>
    <row r="20" spans="1:75" s="10" customFormat="1" x14ac:dyDescent="0.25">
      <c r="A20" s="23"/>
      <c r="B20" s="24"/>
      <c r="C20" s="25"/>
      <c r="D20" s="26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27"/>
      <c r="R20" s="11"/>
      <c r="S20" s="11"/>
      <c r="T20" s="11"/>
      <c r="U20" s="23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</row>
    <row r="21" spans="1:75" x14ac:dyDescent="0.25">
      <c r="A21" s="20"/>
      <c r="B21" s="21"/>
      <c r="C21" s="14"/>
      <c r="D21" s="17"/>
      <c r="E21" s="9"/>
      <c r="F21" s="9"/>
      <c r="G21" s="9"/>
      <c r="H21" s="9"/>
      <c r="I21" s="9"/>
      <c r="J21" s="9"/>
      <c r="K21" s="9"/>
      <c r="L21" s="9"/>
      <c r="M21" s="9"/>
      <c r="N21" s="63"/>
      <c r="O21" s="9"/>
      <c r="P21" s="9"/>
      <c r="Q21" s="22"/>
      <c r="R21" s="9"/>
      <c r="S21" s="9"/>
      <c r="T21" s="9"/>
      <c r="U21" s="28"/>
    </row>
    <row r="22" spans="1:75" x14ac:dyDescent="0.25">
      <c r="A22" s="20"/>
      <c r="B22" s="21"/>
      <c r="C22" s="14"/>
      <c r="D22" s="17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63"/>
      <c r="Q22" s="22"/>
      <c r="R22" s="9"/>
      <c r="S22" s="9"/>
      <c r="T22" s="9"/>
      <c r="U22" s="28"/>
    </row>
    <row r="23" spans="1:75" x14ac:dyDescent="0.25">
      <c r="A23" s="20"/>
      <c r="B23" s="21"/>
      <c r="C23" s="14"/>
      <c r="D23" s="17"/>
      <c r="E23" s="9"/>
      <c r="F23" s="9"/>
      <c r="G23" s="9"/>
      <c r="H23" s="9"/>
      <c r="I23" s="9"/>
      <c r="J23" s="9"/>
      <c r="K23" s="9"/>
      <c r="L23" s="9"/>
      <c r="M23" s="9"/>
      <c r="N23" s="63"/>
      <c r="O23" s="9"/>
      <c r="P23" s="9"/>
      <c r="Q23" s="22"/>
      <c r="R23" s="9"/>
      <c r="S23" s="9"/>
      <c r="T23" s="9"/>
      <c r="U23" s="28"/>
    </row>
    <row r="24" spans="1:75" x14ac:dyDescent="0.25">
      <c r="A24" s="20"/>
      <c r="B24" s="21"/>
      <c r="C24" s="14"/>
      <c r="D24" s="17"/>
      <c r="E24" s="9"/>
      <c r="F24" s="9"/>
      <c r="G24" s="9"/>
      <c r="H24" s="9"/>
      <c r="I24" s="9"/>
      <c r="J24" s="9"/>
      <c r="K24" s="9"/>
      <c r="L24" s="9"/>
      <c r="M24" s="9"/>
      <c r="N24" s="63"/>
      <c r="O24" s="9"/>
      <c r="P24" s="9"/>
      <c r="Q24" s="22"/>
      <c r="R24" s="9"/>
      <c r="S24" s="9"/>
      <c r="T24" s="9"/>
      <c r="U24" s="28"/>
    </row>
    <row r="25" spans="1:75" x14ac:dyDescent="0.25">
      <c r="A25" s="20"/>
      <c r="B25" s="21"/>
      <c r="C25" s="14"/>
      <c r="D25" s="17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63"/>
      <c r="Q25" s="22"/>
      <c r="R25" s="9"/>
      <c r="S25" s="9"/>
      <c r="T25" s="9"/>
      <c r="U25" s="28"/>
    </row>
    <row r="26" spans="1:75" x14ac:dyDescent="0.25">
      <c r="A26" s="20"/>
      <c r="B26" s="21"/>
      <c r="C26" s="14"/>
      <c r="D26" s="17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22"/>
      <c r="R26" s="9"/>
      <c r="S26" s="9"/>
      <c r="T26" s="9"/>
      <c r="U26" s="28"/>
    </row>
    <row r="27" spans="1:75" x14ac:dyDescent="0.25">
      <c r="A27" s="20"/>
      <c r="B27" s="21"/>
      <c r="C27" s="14"/>
      <c r="D27" s="17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22"/>
      <c r="R27" s="9"/>
      <c r="S27" s="9"/>
      <c r="T27" s="9"/>
      <c r="U27" s="28"/>
    </row>
    <row r="28" spans="1:75" x14ac:dyDescent="0.25">
      <c r="A28" s="20"/>
      <c r="B28" s="21"/>
      <c r="C28" s="14"/>
      <c r="D28" s="17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22"/>
      <c r="R28" s="9"/>
      <c r="S28" s="9"/>
      <c r="T28" s="9"/>
      <c r="U28" s="28"/>
    </row>
    <row r="29" spans="1:75" x14ac:dyDescent="0.25">
      <c r="A29" s="20"/>
      <c r="B29" s="21"/>
      <c r="C29" s="14"/>
      <c r="D29" s="17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22"/>
      <c r="R29" s="9"/>
      <c r="S29" s="9"/>
      <c r="T29" s="80"/>
      <c r="U29" s="81"/>
    </row>
    <row r="30" spans="1:75" s="10" customFormat="1" x14ac:dyDescent="0.25">
      <c r="A30" s="23"/>
      <c r="B30" s="24"/>
      <c r="C30" s="25"/>
      <c r="D30" s="26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27"/>
      <c r="R30" s="11"/>
      <c r="S30" s="11"/>
      <c r="T30" s="11"/>
      <c r="U30" s="23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</row>
    <row r="31" spans="1:75" x14ac:dyDescent="0.25">
      <c r="A31" s="20"/>
      <c r="B31" s="21"/>
      <c r="C31" s="14"/>
      <c r="D31" s="17"/>
      <c r="E31" s="9"/>
      <c r="F31" s="9"/>
      <c r="G31" s="9"/>
      <c r="H31" s="9"/>
      <c r="I31" s="9"/>
      <c r="J31" s="9"/>
      <c r="K31" s="9"/>
      <c r="L31" s="9"/>
      <c r="M31" s="9"/>
      <c r="N31" s="63"/>
      <c r="O31" s="9"/>
      <c r="P31" s="9"/>
      <c r="Q31" s="22"/>
      <c r="R31" s="9"/>
      <c r="S31" s="9"/>
      <c r="T31" s="9"/>
      <c r="U31" s="28"/>
    </row>
    <row r="32" spans="1:75" x14ac:dyDescent="0.25">
      <c r="A32" s="20"/>
      <c r="B32" s="21"/>
      <c r="C32" s="14"/>
      <c r="D32" s="17"/>
      <c r="E32" s="9"/>
      <c r="F32" s="9"/>
      <c r="G32" s="9"/>
      <c r="H32" s="9"/>
      <c r="I32" s="9"/>
      <c r="J32" s="9"/>
      <c r="K32" s="9"/>
      <c r="L32" s="9"/>
      <c r="M32" s="9"/>
      <c r="N32" s="63"/>
      <c r="O32" s="9"/>
      <c r="P32" s="9"/>
      <c r="Q32" s="22"/>
      <c r="R32" s="9"/>
      <c r="S32" s="9"/>
      <c r="T32" s="9"/>
      <c r="U32" s="28"/>
    </row>
    <row r="33" spans="1:75" x14ac:dyDescent="0.25">
      <c r="A33" s="20"/>
      <c r="B33" s="21"/>
      <c r="C33" s="14"/>
      <c r="D33" s="17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63"/>
      <c r="Q33" s="22"/>
      <c r="R33" s="9"/>
      <c r="S33" s="9"/>
      <c r="T33" s="9"/>
      <c r="U33" s="28"/>
    </row>
    <row r="34" spans="1:75" x14ac:dyDescent="0.25">
      <c r="A34" s="20"/>
      <c r="B34" s="21"/>
      <c r="C34" s="14"/>
      <c r="D34" s="17"/>
      <c r="E34" s="9"/>
      <c r="F34" s="9"/>
      <c r="G34" s="9"/>
      <c r="H34" s="9"/>
      <c r="I34" s="9"/>
      <c r="J34" s="9"/>
      <c r="K34" s="9"/>
      <c r="L34" s="9"/>
      <c r="M34" s="9"/>
      <c r="N34" s="63"/>
      <c r="O34" s="9"/>
      <c r="P34" s="9"/>
      <c r="Q34" s="22"/>
      <c r="R34" s="9"/>
      <c r="S34" s="9"/>
      <c r="T34" s="9"/>
      <c r="U34" s="28"/>
    </row>
    <row r="35" spans="1:75" x14ac:dyDescent="0.25">
      <c r="A35" s="20"/>
      <c r="B35" s="21"/>
      <c r="C35" s="14"/>
      <c r="D35" s="17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63"/>
      <c r="Q35" s="22"/>
      <c r="R35" s="9"/>
      <c r="S35" s="9"/>
      <c r="T35" s="9"/>
      <c r="U35" s="28"/>
    </row>
    <row r="36" spans="1:75" x14ac:dyDescent="0.25">
      <c r="A36" s="20"/>
      <c r="B36" s="21"/>
      <c r="C36" s="14"/>
      <c r="D36" s="17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22"/>
      <c r="R36" s="9"/>
      <c r="S36" s="9"/>
      <c r="T36" s="9"/>
      <c r="U36" s="28"/>
    </row>
    <row r="37" spans="1:75" x14ac:dyDescent="0.25">
      <c r="A37" s="20"/>
      <c r="B37" s="21"/>
      <c r="C37" s="14"/>
      <c r="D37" s="17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22"/>
      <c r="R37" s="9"/>
      <c r="S37" s="9"/>
      <c r="T37" s="9"/>
      <c r="U37" s="28"/>
    </row>
    <row r="38" spans="1:75" s="10" customFormat="1" x14ac:dyDescent="0.25">
      <c r="A38" s="23"/>
      <c r="B38" s="24"/>
      <c r="C38" s="25"/>
      <c r="D38" s="26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27">
        <f>A39</f>
        <v>51559</v>
      </c>
      <c r="R38" s="11"/>
      <c r="S38" s="11"/>
      <c r="T38" s="11"/>
      <c r="U38" s="23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</row>
    <row r="39" spans="1:75" x14ac:dyDescent="0.25">
      <c r="A39" s="20">
        <v>51559</v>
      </c>
      <c r="B39" s="21" t="s">
        <v>6</v>
      </c>
      <c r="C39" s="14">
        <v>44782</v>
      </c>
      <c r="D39" s="17">
        <v>11</v>
      </c>
      <c r="E39" s="9">
        <v>461542.2</v>
      </c>
      <c r="F39" s="9">
        <v>44955</v>
      </c>
      <c r="G39" s="9">
        <v>416587</v>
      </c>
      <c r="H39" s="9">
        <v>74986</v>
      </c>
      <c r="I39" s="9">
        <v>491573</v>
      </c>
      <c r="J39" s="9">
        <v>4166</v>
      </c>
      <c r="K39" s="9">
        <v>20829</v>
      </c>
      <c r="L39" s="9">
        <v>20829.350000000002</v>
      </c>
      <c r="M39" s="9">
        <v>41658.700000000004</v>
      </c>
      <c r="N39" s="63">
        <v>74986</v>
      </c>
      <c r="O39" s="9">
        <v>21349.5</v>
      </c>
      <c r="P39" s="9">
        <v>307754</v>
      </c>
      <c r="Q39" s="22"/>
      <c r="R39" s="9">
        <v>100000</v>
      </c>
      <c r="S39" s="9">
        <f t="shared" ref="S39:S44" si="0">R39*$S$6</f>
        <v>1000</v>
      </c>
      <c r="T39" s="9">
        <v>99000</v>
      </c>
      <c r="U39" s="28" t="s">
        <v>8</v>
      </c>
    </row>
    <row r="40" spans="1:75" x14ac:dyDescent="0.25">
      <c r="A40" s="20">
        <v>51559</v>
      </c>
      <c r="B40" s="21" t="s">
        <v>6</v>
      </c>
      <c r="C40" s="14">
        <v>44834</v>
      </c>
      <c r="D40" s="17">
        <v>18</v>
      </c>
      <c r="E40" s="9">
        <v>811891.1</v>
      </c>
      <c r="F40" s="9">
        <v>8991</v>
      </c>
      <c r="G40" s="9">
        <v>802900.1</v>
      </c>
      <c r="H40" s="9">
        <v>144522</v>
      </c>
      <c r="I40" s="9">
        <v>947422.1</v>
      </c>
      <c r="J40" s="9">
        <v>8029</v>
      </c>
      <c r="K40" s="9">
        <v>40145</v>
      </c>
      <c r="L40" s="9">
        <v>40145.005000000005</v>
      </c>
      <c r="M40" s="9">
        <v>80290.010000000009</v>
      </c>
      <c r="N40" s="63">
        <v>144522</v>
      </c>
      <c r="O40" s="9">
        <v>533160</v>
      </c>
      <c r="P40" s="9">
        <v>101131</v>
      </c>
      <c r="Q40" s="22"/>
      <c r="R40" s="9">
        <v>100000</v>
      </c>
      <c r="S40" s="9">
        <f t="shared" si="0"/>
        <v>1000</v>
      </c>
      <c r="T40" s="9">
        <v>99000</v>
      </c>
      <c r="U40" s="28" t="s">
        <v>9</v>
      </c>
    </row>
    <row r="41" spans="1:75" x14ac:dyDescent="0.25">
      <c r="A41" s="20">
        <v>51559</v>
      </c>
      <c r="B41" s="21" t="s">
        <v>5</v>
      </c>
      <c r="C41" s="14">
        <v>44950</v>
      </c>
      <c r="D41" s="17" t="s">
        <v>7</v>
      </c>
      <c r="E41" s="9">
        <v>219508</v>
      </c>
      <c r="F41" s="9"/>
      <c r="G41" s="9"/>
      <c r="H41" s="9"/>
      <c r="I41" s="9"/>
      <c r="J41" s="9"/>
      <c r="K41" s="9"/>
      <c r="L41" s="9"/>
      <c r="M41" s="9"/>
      <c r="N41" s="9"/>
      <c r="O41" s="9"/>
      <c r="P41" s="63">
        <v>219508</v>
      </c>
      <c r="Q41" s="22"/>
      <c r="R41" s="9">
        <v>200000</v>
      </c>
      <c r="S41" s="9">
        <f t="shared" si="0"/>
        <v>2000</v>
      </c>
      <c r="T41" s="9">
        <v>198000</v>
      </c>
      <c r="U41" s="28" t="s">
        <v>10</v>
      </c>
    </row>
    <row r="42" spans="1:75" x14ac:dyDescent="0.25">
      <c r="A42" s="20">
        <v>51559</v>
      </c>
      <c r="B42" s="21" t="s">
        <v>6</v>
      </c>
      <c r="C42" s="14">
        <v>45033</v>
      </c>
      <c r="D42" s="17">
        <v>7</v>
      </c>
      <c r="E42" s="9">
        <v>667513</v>
      </c>
      <c r="F42" s="9">
        <v>80919</v>
      </c>
      <c r="G42" s="9">
        <v>586594</v>
      </c>
      <c r="H42" s="9">
        <v>105586.92</v>
      </c>
      <c r="I42" s="9">
        <v>692180.92</v>
      </c>
      <c r="J42" s="9">
        <v>5865.9400000000005</v>
      </c>
      <c r="K42" s="9">
        <v>29330</v>
      </c>
      <c r="L42" s="9">
        <v>29329.7</v>
      </c>
      <c r="M42" s="9">
        <v>58659.4</v>
      </c>
      <c r="N42" s="63">
        <f>+H42</f>
        <v>105586.92</v>
      </c>
      <c r="O42" s="9">
        <v>105586.92</v>
      </c>
      <c r="P42" s="9">
        <v>463408.96</v>
      </c>
      <c r="Q42" s="22"/>
      <c r="R42" s="9">
        <v>400000</v>
      </c>
      <c r="S42" s="9">
        <f t="shared" si="0"/>
        <v>4000</v>
      </c>
      <c r="T42" s="9">
        <v>396000</v>
      </c>
      <c r="U42" s="28" t="s">
        <v>11</v>
      </c>
    </row>
    <row r="43" spans="1:75" x14ac:dyDescent="0.25">
      <c r="A43" s="20">
        <v>51559</v>
      </c>
      <c r="B43" s="21" t="s">
        <v>6</v>
      </c>
      <c r="C43" s="14">
        <v>45143</v>
      </c>
      <c r="D43" s="17">
        <v>22</v>
      </c>
      <c r="E43" s="9">
        <v>932456.25</v>
      </c>
      <c r="F43" s="9">
        <v>152000</v>
      </c>
      <c r="G43" s="9">
        <f>E43-F43</f>
        <v>780456.25</v>
      </c>
      <c r="H43" s="9">
        <f>+G43*18%</f>
        <v>140482.125</v>
      </c>
      <c r="I43" s="9">
        <f>G43+H43</f>
        <v>920938.375</v>
      </c>
      <c r="J43" s="9">
        <f>J$6*G43</f>
        <v>7804.5625</v>
      </c>
      <c r="K43" s="9">
        <f>ROUND(G43*$K$6,0)</f>
        <v>39023</v>
      </c>
      <c r="L43" s="9">
        <v>0</v>
      </c>
      <c r="M43" s="9">
        <v>0</v>
      </c>
      <c r="N43" s="63">
        <f>+H43</f>
        <v>140482.125</v>
      </c>
      <c r="O43" s="9">
        <v>227419</v>
      </c>
      <c r="P43" s="9">
        <f>I43-SUM(J43:O43)</f>
        <v>506209.6875</v>
      </c>
      <c r="Q43" s="22"/>
      <c r="R43" s="9">
        <v>300000</v>
      </c>
      <c r="S43" s="9">
        <f t="shared" si="0"/>
        <v>3000</v>
      </c>
      <c r="T43" s="9">
        <v>297000</v>
      </c>
      <c r="U43" s="28" t="s">
        <v>12</v>
      </c>
    </row>
    <row r="44" spans="1:75" x14ac:dyDescent="0.25">
      <c r="A44" s="20">
        <v>51559</v>
      </c>
      <c r="B44" s="21" t="s">
        <v>5</v>
      </c>
      <c r="C44" s="14"/>
      <c r="D44" s="17" t="s">
        <v>170</v>
      </c>
      <c r="E44" s="9">
        <f>N42+N43</f>
        <v>246069.04499999998</v>
      </c>
      <c r="F44" s="9"/>
      <c r="G44" s="9"/>
      <c r="H44" s="9"/>
      <c r="I44" s="9"/>
      <c r="J44" s="9"/>
      <c r="K44" s="9"/>
      <c r="L44" s="9"/>
      <c r="M44" s="9"/>
      <c r="N44" s="9"/>
      <c r="O44" s="9"/>
      <c r="P44" s="63">
        <f>E44</f>
        <v>246069.04499999998</v>
      </c>
      <c r="Q44" s="22"/>
      <c r="R44" s="9">
        <v>150000</v>
      </c>
      <c r="S44" s="9">
        <f t="shared" si="0"/>
        <v>1500</v>
      </c>
      <c r="T44" s="9">
        <v>148500</v>
      </c>
      <c r="U44" s="28" t="s">
        <v>13</v>
      </c>
    </row>
    <row r="45" spans="1:75" x14ac:dyDescent="0.25">
      <c r="A45" s="20">
        <v>51559</v>
      </c>
      <c r="B45" s="21"/>
      <c r="C45" s="14"/>
      <c r="D45" s="17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22"/>
      <c r="R45" s="9">
        <v>360512</v>
      </c>
      <c r="S45" s="9">
        <v>0</v>
      </c>
      <c r="T45" s="9">
        <v>360512</v>
      </c>
      <c r="U45" s="28" t="s">
        <v>115</v>
      </c>
    </row>
    <row r="46" spans="1:75" x14ac:dyDescent="0.25">
      <c r="A46" s="20">
        <v>51559</v>
      </c>
      <c r="B46" s="21"/>
      <c r="C46" s="14"/>
      <c r="D46" s="17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22"/>
      <c r="R46" s="9">
        <v>103950</v>
      </c>
      <c r="S46" s="9">
        <v>0</v>
      </c>
      <c r="T46" s="9">
        <v>103950</v>
      </c>
      <c r="U46" s="28" t="s">
        <v>116</v>
      </c>
    </row>
    <row r="47" spans="1:75" x14ac:dyDescent="0.25">
      <c r="A47" s="20">
        <v>51559</v>
      </c>
      <c r="B47" s="21"/>
      <c r="C47" s="14"/>
      <c r="D47" s="17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22"/>
      <c r="R47" s="9">
        <v>250000</v>
      </c>
      <c r="S47" s="9">
        <f>R47-T47</f>
        <v>2500</v>
      </c>
      <c r="T47" s="9">
        <v>247500</v>
      </c>
      <c r="U47" s="28" t="s">
        <v>186</v>
      </c>
    </row>
    <row r="48" spans="1:75" x14ac:dyDescent="0.25">
      <c r="A48" s="20">
        <v>51559</v>
      </c>
      <c r="B48" s="21"/>
      <c r="C48" s="14"/>
      <c r="D48" s="17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22"/>
      <c r="R48" s="9"/>
      <c r="S48" s="9"/>
      <c r="T48" s="80">
        <v>396000</v>
      </c>
      <c r="U48" s="81" t="s">
        <v>216</v>
      </c>
    </row>
    <row r="49" spans="1:75" s="10" customFormat="1" x14ac:dyDescent="0.25">
      <c r="A49" s="23"/>
      <c r="B49" s="24"/>
      <c r="C49" s="25"/>
      <c r="D49" s="26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29"/>
      <c r="R49" s="11"/>
      <c r="S49" s="11"/>
      <c r="T49" s="11"/>
      <c r="U49" s="23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</row>
    <row r="50" spans="1:75" x14ac:dyDescent="0.25">
      <c r="A50" s="20">
        <v>52319</v>
      </c>
      <c r="B50" s="21" t="s">
        <v>14</v>
      </c>
      <c r="C50" s="14">
        <v>44848</v>
      </c>
      <c r="D50" s="17">
        <v>24</v>
      </c>
      <c r="E50" s="9">
        <v>1397985.36</v>
      </c>
      <c r="F50" s="9">
        <f>600*89.91</f>
        <v>53946</v>
      </c>
      <c r="G50" s="9">
        <f>ROUND(E50-F50,)</f>
        <v>1344039</v>
      </c>
      <c r="H50" s="9">
        <f>G50*18%</f>
        <v>241927.02</v>
      </c>
      <c r="I50" s="9">
        <f>G50+H50</f>
        <v>1585966.02</v>
      </c>
      <c r="J50" s="9">
        <f>ROUND(G50*$J$6,)</f>
        <v>13440</v>
      </c>
      <c r="K50" s="9">
        <f>ROUND(G50*$K$6,)</f>
        <v>67202</v>
      </c>
      <c r="L50" s="9">
        <f>ROUND(G50*$L$6,)</f>
        <v>67202</v>
      </c>
      <c r="M50" s="9">
        <f>ROUND(G50*$M$6,)</f>
        <v>134404</v>
      </c>
      <c r="N50" s="63">
        <f>H50</f>
        <v>241927.02</v>
      </c>
      <c r="O50" s="9">
        <v>129112</v>
      </c>
      <c r="P50" s="9">
        <f>ROUND(I50-SUM(J50:O50),0)</f>
        <v>932679</v>
      </c>
      <c r="Q50" s="30">
        <v>52319</v>
      </c>
      <c r="R50" s="9">
        <v>100000</v>
      </c>
      <c r="S50" s="9">
        <f>R50*$S$6</f>
        <v>1000</v>
      </c>
      <c r="T50" s="9">
        <v>99000</v>
      </c>
      <c r="U50" s="28" t="s">
        <v>15</v>
      </c>
    </row>
    <row r="51" spans="1:75" x14ac:dyDescent="0.25">
      <c r="A51" s="20">
        <v>52319</v>
      </c>
      <c r="B51" s="21" t="s">
        <v>5</v>
      </c>
      <c r="C51" s="14">
        <v>44975</v>
      </c>
      <c r="D51" s="17">
        <v>24</v>
      </c>
      <c r="E51" s="9">
        <v>241927</v>
      </c>
      <c r="F51" s="9"/>
      <c r="G51" s="9">
        <f>E51-F51</f>
        <v>241927</v>
      </c>
      <c r="H51" s="9">
        <v>0</v>
      </c>
      <c r="I51" s="9">
        <f>G51+H51</f>
        <v>241927</v>
      </c>
      <c r="J51" s="9">
        <v>0</v>
      </c>
      <c r="K51" s="9">
        <v>0</v>
      </c>
      <c r="L51" s="9"/>
      <c r="M51" s="9"/>
      <c r="N51" s="9">
        <v>0</v>
      </c>
      <c r="O51" s="9"/>
      <c r="P51" s="63">
        <v>241927</v>
      </c>
      <c r="Q51" s="22"/>
      <c r="R51" s="9">
        <v>300000</v>
      </c>
      <c r="S51" s="9">
        <f>R51*$S$6</f>
        <v>3000</v>
      </c>
      <c r="T51" s="9">
        <v>297000</v>
      </c>
      <c r="U51" s="28" t="s">
        <v>16</v>
      </c>
    </row>
    <row r="52" spans="1:75" x14ac:dyDescent="0.25">
      <c r="A52" s="20">
        <v>52319</v>
      </c>
      <c r="B52" s="21" t="s">
        <v>14</v>
      </c>
      <c r="C52" s="14">
        <v>45089</v>
      </c>
      <c r="D52" s="17">
        <v>13</v>
      </c>
      <c r="E52" s="9">
        <v>701169.86</v>
      </c>
      <c r="F52" s="9"/>
      <c r="G52" s="9">
        <f>E52-F52</f>
        <v>701169.86</v>
      </c>
      <c r="H52" s="9">
        <f>G52*18%</f>
        <v>126210.57479999999</v>
      </c>
      <c r="I52" s="9">
        <f>G52+H52</f>
        <v>827380.43479999993</v>
      </c>
      <c r="J52" s="9">
        <f>E52*1%</f>
        <v>7011.6985999999997</v>
      </c>
      <c r="K52" s="9">
        <f>ROUND(G52*$K$6,)</f>
        <v>35058</v>
      </c>
      <c r="L52" s="9">
        <f>ROUND(G52*$L$6,)</f>
        <v>35058</v>
      </c>
      <c r="M52" s="9">
        <f>ROUND(G52*$M$6,)</f>
        <v>70117</v>
      </c>
      <c r="N52" s="63">
        <f>H52</f>
        <v>126210.57479999999</v>
      </c>
      <c r="O52" s="9">
        <v>109328</v>
      </c>
      <c r="P52" s="9">
        <f>ROUND(I52-SUM(J52:O52),0)</f>
        <v>444597</v>
      </c>
      <c r="Q52" s="22"/>
      <c r="R52" s="9">
        <v>400000</v>
      </c>
      <c r="S52" s="9">
        <f t="shared" ref="S52:S57" si="1">R52*$S$6</f>
        <v>4000</v>
      </c>
      <c r="T52" s="9">
        <v>396000</v>
      </c>
      <c r="U52" s="28" t="s">
        <v>17</v>
      </c>
    </row>
    <row r="53" spans="1:75" x14ac:dyDescent="0.25">
      <c r="A53" s="20">
        <v>52319</v>
      </c>
      <c r="B53" s="21" t="s">
        <v>14</v>
      </c>
      <c r="C53" s="14">
        <v>45146</v>
      </c>
      <c r="D53" s="17">
        <v>24</v>
      </c>
      <c r="E53" s="9">
        <v>2058775</v>
      </c>
      <c r="F53" s="9">
        <v>243200</v>
      </c>
      <c r="G53" s="9">
        <f>E53-F53</f>
        <v>1815575</v>
      </c>
      <c r="H53" s="9">
        <f>G53*18%</f>
        <v>326803.5</v>
      </c>
      <c r="I53" s="9">
        <f>G53+H53</f>
        <v>2142378.5</v>
      </c>
      <c r="J53" s="9">
        <f>J$6*G53</f>
        <v>18155.75</v>
      </c>
      <c r="K53" s="9">
        <f>ROUND(G53*$K$6,)</f>
        <v>90779</v>
      </c>
      <c r="L53" s="9">
        <v>0</v>
      </c>
      <c r="M53" s="9">
        <v>0</v>
      </c>
      <c r="N53" s="63">
        <f>H53</f>
        <v>326803.5</v>
      </c>
      <c r="O53" s="9"/>
      <c r="P53" s="9">
        <f>I53-SUM(J53:N53)</f>
        <v>1706640.25</v>
      </c>
      <c r="Q53" s="22"/>
      <c r="R53" s="9">
        <v>140679</v>
      </c>
      <c r="S53" s="9"/>
      <c r="T53" s="9">
        <v>140679</v>
      </c>
      <c r="U53" s="28" t="s">
        <v>18</v>
      </c>
    </row>
    <row r="54" spans="1:75" x14ac:dyDescent="0.25">
      <c r="A54" s="20">
        <v>52319</v>
      </c>
      <c r="B54" s="21" t="s">
        <v>5</v>
      </c>
      <c r="C54" s="14"/>
      <c r="D54" s="17" t="s">
        <v>169</v>
      </c>
      <c r="E54" s="9">
        <f>N52+N53</f>
        <v>453014.0748</v>
      </c>
      <c r="F54" s="9"/>
      <c r="G54" s="9"/>
      <c r="H54" s="9"/>
      <c r="I54" s="9"/>
      <c r="J54" s="9"/>
      <c r="K54" s="9"/>
      <c r="L54" s="9"/>
      <c r="M54" s="9"/>
      <c r="N54" s="9"/>
      <c r="O54" s="9"/>
      <c r="P54" s="63">
        <f>E54</f>
        <v>453014.0748</v>
      </c>
      <c r="Q54" s="22"/>
      <c r="R54" s="9">
        <v>150000</v>
      </c>
      <c r="S54" s="9">
        <f t="shared" si="1"/>
        <v>1500</v>
      </c>
      <c r="T54" s="9">
        <v>148500</v>
      </c>
      <c r="U54" s="28" t="s">
        <v>19</v>
      </c>
    </row>
    <row r="55" spans="1:75" x14ac:dyDescent="0.25">
      <c r="A55" s="20">
        <v>52319</v>
      </c>
      <c r="B55" s="21"/>
      <c r="C55" s="14"/>
      <c r="D55" s="17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22"/>
      <c r="R55" s="9">
        <v>241927</v>
      </c>
      <c r="S55" s="9"/>
      <c r="T55" s="9">
        <v>241927</v>
      </c>
      <c r="U55" s="28" t="s">
        <v>20</v>
      </c>
    </row>
    <row r="56" spans="1:75" x14ac:dyDescent="0.25">
      <c r="A56" s="20">
        <v>52319</v>
      </c>
      <c r="B56" s="21"/>
      <c r="C56" s="14"/>
      <c r="D56" s="17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22"/>
      <c r="R56" s="9">
        <v>200000</v>
      </c>
      <c r="S56" s="9">
        <f t="shared" si="1"/>
        <v>2000</v>
      </c>
      <c r="T56" s="9">
        <v>198000</v>
      </c>
      <c r="U56" s="28" t="s">
        <v>21</v>
      </c>
    </row>
    <row r="57" spans="1:75" x14ac:dyDescent="0.25">
      <c r="A57" s="20">
        <v>52319</v>
      </c>
      <c r="B57" s="21"/>
      <c r="C57" s="14"/>
      <c r="D57" s="17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22"/>
      <c r="R57" s="9">
        <v>200000</v>
      </c>
      <c r="S57" s="9">
        <f t="shared" si="1"/>
        <v>2000</v>
      </c>
      <c r="T57" s="9">
        <v>198000</v>
      </c>
      <c r="U57" s="28" t="s">
        <v>22</v>
      </c>
    </row>
    <row r="58" spans="1:75" x14ac:dyDescent="0.25">
      <c r="A58" s="20">
        <v>52319</v>
      </c>
      <c r="B58" s="21"/>
      <c r="C58" s="14"/>
      <c r="D58" s="17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22"/>
      <c r="R58" s="9">
        <v>1606736</v>
      </c>
      <c r="S58" s="9"/>
      <c r="T58" s="9">
        <v>1606736</v>
      </c>
      <c r="U58" s="28" t="s">
        <v>114</v>
      </c>
    </row>
    <row r="59" spans="1:75" x14ac:dyDescent="0.25">
      <c r="A59" s="20">
        <v>52319</v>
      </c>
      <c r="B59" s="21"/>
      <c r="C59" s="14"/>
      <c r="D59" s="17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22"/>
      <c r="R59" s="9">
        <v>450000</v>
      </c>
      <c r="S59" s="9">
        <f>R59-T59</f>
        <v>4500</v>
      </c>
      <c r="T59" s="9">
        <v>445500</v>
      </c>
      <c r="U59" s="28" t="s">
        <v>187</v>
      </c>
    </row>
    <row r="60" spans="1:75" x14ac:dyDescent="0.25">
      <c r="A60" s="20"/>
      <c r="B60" s="21"/>
      <c r="C60" s="14"/>
      <c r="D60" s="17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22"/>
      <c r="R60" s="31"/>
      <c r="S60" s="31"/>
      <c r="T60" s="31"/>
      <c r="U60" s="32"/>
    </row>
    <row r="61" spans="1:75" x14ac:dyDescent="0.25">
      <c r="A61" s="20"/>
      <c r="B61" s="21"/>
      <c r="C61" s="14"/>
      <c r="D61" s="17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22"/>
      <c r="R61" s="31"/>
      <c r="S61" s="31"/>
      <c r="T61" s="31"/>
      <c r="U61" s="32"/>
    </row>
    <row r="62" spans="1:75" x14ac:dyDescent="0.25">
      <c r="A62" s="20"/>
      <c r="B62" s="21"/>
      <c r="C62" s="14"/>
      <c r="D62" s="17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22"/>
      <c r="R62" s="31"/>
      <c r="S62" s="31"/>
      <c r="T62" s="31"/>
      <c r="U62" s="32"/>
    </row>
    <row r="63" spans="1:75" s="10" customFormat="1" x14ac:dyDescent="0.25">
      <c r="A63" s="23"/>
      <c r="B63" s="24"/>
      <c r="C63" s="25"/>
      <c r="D63" s="26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64">
        <f>A64</f>
        <v>52324</v>
      </c>
      <c r="R63" s="11"/>
      <c r="S63" s="11"/>
      <c r="T63" s="11"/>
      <c r="U63" s="23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</row>
    <row r="64" spans="1:75" x14ac:dyDescent="0.25">
      <c r="A64" s="20">
        <v>52324</v>
      </c>
      <c r="B64" s="21" t="s">
        <v>23</v>
      </c>
      <c r="C64" s="14">
        <v>44844</v>
      </c>
      <c r="D64" s="17">
        <v>22</v>
      </c>
      <c r="E64" s="9">
        <v>935567</v>
      </c>
      <c r="F64" s="9">
        <v>35964</v>
      </c>
      <c r="G64" s="9">
        <f>E64-F64</f>
        <v>899603</v>
      </c>
      <c r="H64" s="9">
        <f>G64*18%</f>
        <v>161928.54</v>
      </c>
      <c r="I64" s="9">
        <f>G64+H64</f>
        <v>1061531.54</v>
      </c>
      <c r="J64" s="9">
        <f>G64*1%</f>
        <v>8996.0300000000007</v>
      </c>
      <c r="K64" s="9">
        <f>G64*5%</f>
        <v>44980.15</v>
      </c>
      <c r="L64" s="9">
        <f>G64*5%</f>
        <v>44980.15</v>
      </c>
      <c r="M64" s="9">
        <f>G64*10%</f>
        <v>89960.3</v>
      </c>
      <c r="N64" s="63">
        <f>H64</f>
        <v>161928.54</v>
      </c>
      <c r="O64" s="9">
        <v>193417</v>
      </c>
      <c r="P64" s="9">
        <f>I64-O64-N64-M64-L64-K64-J64</f>
        <v>517269.36999999988</v>
      </c>
      <c r="Q64" s="36"/>
      <c r="R64" s="9"/>
      <c r="S64" s="9"/>
      <c r="T64" s="9">
        <v>99000</v>
      </c>
      <c r="U64" s="28" t="s">
        <v>24</v>
      </c>
    </row>
    <row r="65" spans="1:75" x14ac:dyDescent="0.25">
      <c r="A65" s="20">
        <v>52324</v>
      </c>
      <c r="B65" s="21" t="s">
        <v>5</v>
      </c>
      <c r="C65" s="14">
        <v>44975</v>
      </c>
      <c r="D65" s="17">
        <v>22</v>
      </c>
      <c r="E65" s="9">
        <v>161929</v>
      </c>
      <c r="F65" s="9"/>
      <c r="G65" s="9">
        <f>E65-F65</f>
        <v>161929</v>
      </c>
      <c r="H65" s="9"/>
      <c r="I65" s="9">
        <f t="shared" ref="I65:I66" si="2">G65+H65</f>
        <v>161929</v>
      </c>
      <c r="J65" s="9"/>
      <c r="K65" s="9"/>
      <c r="L65" s="9"/>
      <c r="M65" s="9"/>
      <c r="N65" s="9">
        <f t="shared" ref="N65:N66" si="3">H65</f>
        <v>0</v>
      </c>
      <c r="O65" s="9"/>
      <c r="P65" s="63">
        <f t="shared" ref="P65:P66" si="4">I65-O65-N65-M65-L65-K65-J65</f>
        <v>161929</v>
      </c>
      <c r="Q65" s="36"/>
      <c r="R65" s="9"/>
      <c r="S65" s="9"/>
      <c r="T65" s="9">
        <v>198000</v>
      </c>
      <c r="U65" s="28" t="s">
        <v>25</v>
      </c>
    </row>
    <row r="66" spans="1:75" x14ac:dyDescent="0.25">
      <c r="A66" s="20">
        <v>52324</v>
      </c>
      <c r="B66" s="21" t="s">
        <v>23</v>
      </c>
      <c r="C66" s="14">
        <v>45233</v>
      </c>
      <c r="D66" s="17">
        <v>36</v>
      </c>
      <c r="E66" s="9">
        <v>1133360</v>
      </c>
      <c r="F66" s="9">
        <v>157100</v>
      </c>
      <c r="G66" s="9">
        <f>E66-F66</f>
        <v>976260</v>
      </c>
      <c r="H66" s="9">
        <f t="shared" ref="H66" si="5">G66*18%</f>
        <v>175726.8</v>
      </c>
      <c r="I66" s="9">
        <f t="shared" si="2"/>
        <v>1151986.8</v>
      </c>
      <c r="J66" s="9">
        <f t="shared" ref="J66" si="6">G66*1%</f>
        <v>9762.6</v>
      </c>
      <c r="K66" s="9">
        <f t="shared" ref="K66" si="7">G66*5%</f>
        <v>48813</v>
      </c>
      <c r="L66" s="9">
        <f t="shared" ref="L66" si="8">G66*5%</f>
        <v>48813</v>
      </c>
      <c r="M66" s="9">
        <f t="shared" ref="M66" si="9">G66*10%</f>
        <v>97626</v>
      </c>
      <c r="N66" s="63">
        <f t="shared" si="3"/>
        <v>175726.8</v>
      </c>
      <c r="O66" s="9">
        <v>29172</v>
      </c>
      <c r="P66" s="9">
        <f t="shared" si="4"/>
        <v>742073.4</v>
      </c>
      <c r="Q66" s="36"/>
      <c r="R66" s="9"/>
      <c r="S66" s="9"/>
      <c r="T66" s="9">
        <v>297000</v>
      </c>
      <c r="U66" s="28" t="s">
        <v>26</v>
      </c>
    </row>
    <row r="67" spans="1:75" x14ac:dyDescent="0.25">
      <c r="A67" s="20">
        <v>52324</v>
      </c>
      <c r="B67" s="21" t="s">
        <v>23</v>
      </c>
      <c r="C67" s="14">
        <v>45233</v>
      </c>
      <c r="D67" s="17">
        <v>35</v>
      </c>
      <c r="E67" s="9">
        <v>257124</v>
      </c>
      <c r="F67" s="9">
        <v>0</v>
      </c>
      <c r="G67" s="9">
        <v>257124</v>
      </c>
      <c r="H67" s="9">
        <f>G67*18%</f>
        <v>46282.32</v>
      </c>
      <c r="I67" s="9">
        <f>G67+H67</f>
        <v>303406.32</v>
      </c>
      <c r="J67" s="9">
        <f>I67*1%</f>
        <v>3034.0632000000001</v>
      </c>
      <c r="K67" s="9">
        <f>I67*5%</f>
        <v>15170.316000000001</v>
      </c>
      <c r="L67" s="9">
        <f>I67*10%</f>
        <v>30340.632000000001</v>
      </c>
      <c r="M67" s="9">
        <f>I67*10%</f>
        <v>30340.632000000001</v>
      </c>
      <c r="N67" s="63">
        <f>G67*18%</f>
        <v>46282.32</v>
      </c>
      <c r="O67" s="9">
        <v>118498</v>
      </c>
      <c r="P67" s="9">
        <v>71774</v>
      </c>
      <c r="Q67" s="36"/>
      <c r="R67" s="9"/>
      <c r="S67" s="9"/>
      <c r="T67" s="9">
        <v>99000</v>
      </c>
      <c r="U67" s="28" t="s">
        <v>27</v>
      </c>
    </row>
    <row r="68" spans="1:75" x14ac:dyDescent="0.25">
      <c r="A68" s="20">
        <v>52324</v>
      </c>
      <c r="B68" s="21" t="s">
        <v>5</v>
      </c>
      <c r="C68" s="14"/>
      <c r="D68" s="59" t="s">
        <v>254</v>
      </c>
      <c r="E68" s="9">
        <f>N66+N67</f>
        <v>222009.12</v>
      </c>
      <c r="F68" s="9"/>
      <c r="G68" s="9"/>
      <c r="H68" s="9"/>
      <c r="I68" s="9"/>
      <c r="J68" s="9"/>
      <c r="K68" s="9"/>
      <c r="L68" s="9"/>
      <c r="M68" s="9"/>
      <c r="N68" s="9"/>
      <c r="O68" s="9"/>
      <c r="P68" s="63">
        <f>E68</f>
        <v>222009.12</v>
      </c>
      <c r="Q68" s="36"/>
      <c r="R68" s="9"/>
      <c r="S68" s="9"/>
      <c r="T68" s="9">
        <v>198000</v>
      </c>
      <c r="U68" s="28" t="s">
        <v>28</v>
      </c>
    </row>
    <row r="69" spans="1:75" x14ac:dyDescent="0.25">
      <c r="A69" s="20">
        <v>52324</v>
      </c>
      <c r="B69" s="21"/>
      <c r="C69" s="14"/>
      <c r="D69" s="17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36"/>
      <c r="R69" s="9"/>
      <c r="S69" s="9"/>
      <c r="T69" s="9">
        <v>530272</v>
      </c>
      <c r="U69" s="28" t="s">
        <v>139</v>
      </c>
    </row>
    <row r="70" spans="1:75" x14ac:dyDescent="0.25">
      <c r="A70" s="20">
        <v>52324</v>
      </c>
      <c r="B70" s="21"/>
      <c r="C70" s="14"/>
      <c r="D70" s="17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36"/>
      <c r="R70" s="9"/>
      <c r="S70" s="9"/>
      <c r="T70" s="9">
        <v>71775</v>
      </c>
      <c r="U70" s="28" t="s">
        <v>150</v>
      </c>
    </row>
    <row r="71" spans="1:75" x14ac:dyDescent="0.25">
      <c r="A71" s="20">
        <v>52324</v>
      </c>
      <c r="B71" s="21"/>
      <c r="C71" s="14"/>
      <c r="D71" s="17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36"/>
      <c r="R71" s="9"/>
      <c r="S71" s="9"/>
      <c r="T71" s="9">
        <v>99000</v>
      </c>
      <c r="U71" s="28" t="s">
        <v>151</v>
      </c>
    </row>
    <row r="72" spans="1:75" x14ac:dyDescent="0.25">
      <c r="A72" s="20">
        <v>52324</v>
      </c>
      <c r="B72" s="21"/>
      <c r="C72" s="14"/>
      <c r="D72" s="17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36"/>
      <c r="R72" s="9"/>
      <c r="S72" s="9"/>
      <c r="T72" s="80">
        <v>99000</v>
      </c>
      <c r="U72" s="81" t="s">
        <v>207</v>
      </c>
    </row>
    <row r="73" spans="1:75" s="10" customFormat="1" x14ac:dyDescent="0.25">
      <c r="A73" s="23"/>
      <c r="B73" s="24"/>
      <c r="C73" s="25"/>
      <c r="D73" s="26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65"/>
      <c r="R73" s="11"/>
      <c r="S73" s="11"/>
      <c r="T73" s="11"/>
      <c r="U73" s="23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</row>
    <row r="74" spans="1:75" x14ac:dyDescent="0.25">
      <c r="A74" s="20">
        <v>52326</v>
      </c>
      <c r="B74" s="36" t="s">
        <v>29</v>
      </c>
      <c r="C74" s="66">
        <v>44876</v>
      </c>
      <c r="D74" s="67">
        <v>27</v>
      </c>
      <c r="E74" s="9">
        <v>484164.35</v>
      </c>
      <c r="F74" s="9">
        <f>600*89.91</f>
        <v>53946</v>
      </c>
      <c r="G74" s="9">
        <f>ROUND(E74-F74,)</f>
        <v>430218</v>
      </c>
      <c r="H74" s="9">
        <f>ROUND(G74*18%,0)</f>
        <v>77439</v>
      </c>
      <c r="I74" s="9">
        <f t="shared" ref="I74:I78" si="10">G74+H74</f>
        <v>507657</v>
      </c>
      <c r="J74" s="9">
        <f>ROUND(G74*$J$6,)</f>
        <v>4302</v>
      </c>
      <c r="K74" s="9">
        <f>ROUND(G74*$K$6,)</f>
        <v>21511</v>
      </c>
      <c r="L74" s="9">
        <f>ROUND(G74*$L$6,)</f>
        <v>21511</v>
      </c>
      <c r="M74" s="9">
        <f>ROUND(G74*$M$6,)</f>
        <v>43022</v>
      </c>
      <c r="N74" s="63">
        <f>H74</f>
        <v>77439</v>
      </c>
      <c r="O74" s="9">
        <v>33257</v>
      </c>
      <c r="P74" s="9">
        <f>ROUND(I74-SUM(J74:O74),0)</f>
        <v>306615</v>
      </c>
      <c r="Q74" s="64">
        <v>52326</v>
      </c>
      <c r="R74" s="9">
        <v>100000</v>
      </c>
      <c r="S74" s="9">
        <f>R74*$S$6</f>
        <v>1000</v>
      </c>
      <c r="T74" s="9">
        <v>99000</v>
      </c>
      <c r="U74" s="28" t="s">
        <v>30</v>
      </c>
    </row>
    <row r="75" spans="1:75" x14ac:dyDescent="0.25">
      <c r="A75" s="20">
        <v>52326</v>
      </c>
      <c r="B75" s="36" t="s">
        <v>5</v>
      </c>
      <c r="C75" s="66">
        <v>45048</v>
      </c>
      <c r="D75" s="38">
        <v>27</v>
      </c>
      <c r="E75" s="9">
        <v>77439</v>
      </c>
      <c r="F75" s="9"/>
      <c r="G75" s="9">
        <f>E75-F75</f>
        <v>77439</v>
      </c>
      <c r="H75" s="9">
        <v>0</v>
      </c>
      <c r="I75" s="9">
        <f t="shared" si="10"/>
        <v>77439</v>
      </c>
      <c r="J75" s="9">
        <v>0</v>
      </c>
      <c r="K75" s="9"/>
      <c r="L75" s="9"/>
      <c r="M75" s="9"/>
      <c r="N75" s="9"/>
      <c r="O75" s="9"/>
      <c r="P75" s="63">
        <f>I75-SUM(J75:N75)</f>
        <v>77439</v>
      </c>
      <c r="Q75" s="36"/>
      <c r="R75" s="9">
        <v>207615</v>
      </c>
      <c r="S75" s="9">
        <v>0</v>
      </c>
      <c r="T75" s="9">
        <v>207615</v>
      </c>
      <c r="U75" s="28" t="s">
        <v>31</v>
      </c>
    </row>
    <row r="76" spans="1:75" x14ac:dyDescent="0.25">
      <c r="A76" s="20">
        <v>52326</v>
      </c>
      <c r="B76" s="36" t="s">
        <v>29</v>
      </c>
      <c r="C76" s="66">
        <v>45028</v>
      </c>
      <c r="D76" s="38">
        <v>4</v>
      </c>
      <c r="E76" s="9">
        <v>654797.85</v>
      </c>
      <c r="F76" s="9">
        <v>107892</v>
      </c>
      <c r="G76" s="9">
        <f>E76-F76</f>
        <v>546905.85</v>
      </c>
      <c r="H76" s="9">
        <f>ROUND(G76*18%,0)</f>
        <v>98443</v>
      </c>
      <c r="I76" s="9">
        <f t="shared" si="10"/>
        <v>645348.85</v>
      </c>
      <c r="J76" s="9">
        <f>ROUND(G76*$J$6,)</f>
        <v>5469</v>
      </c>
      <c r="K76" s="9">
        <f>ROUND(G76*$K$6,)</f>
        <v>27345</v>
      </c>
      <c r="L76" s="9">
        <f>ROUND(G76*$L$6,)</f>
        <v>27345</v>
      </c>
      <c r="M76" s="9">
        <f>ROUND(G76*$M$6,)</f>
        <v>54691</v>
      </c>
      <c r="N76" s="63">
        <f>H76</f>
        <v>98443</v>
      </c>
      <c r="O76" s="9">
        <v>101588</v>
      </c>
      <c r="P76" s="9">
        <f>ROUND(I76-SUM(J76:O76),0)</f>
        <v>330468</v>
      </c>
      <c r="Q76" s="36"/>
      <c r="R76" s="9">
        <v>200000</v>
      </c>
      <c r="S76" s="9">
        <f>R76*$S$6</f>
        <v>2000</v>
      </c>
      <c r="T76" s="9">
        <v>198000</v>
      </c>
      <c r="U76" s="28" t="s">
        <v>109</v>
      </c>
    </row>
    <row r="77" spans="1:75" x14ac:dyDescent="0.25">
      <c r="A77" s="20">
        <v>52326</v>
      </c>
      <c r="B77" s="36" t="s">
        <v>29</v>
      </c>
      <c r="C77" s="66">
        <v>45103</v>
      </c>
      <c r="D77" s="38">
        <v>14</v>
      </c>
      <c r="E77" s="9">
        <v>471975</v>
      </c>
      <c r="F77" s="9"/>
      <c r="G77" s="9">
        <f>E77-F77</f>
        <v>471975</v>
      </c>
      <c r="H77" s="9">
        <f>G77*18%</f>
        <v>84955.5</v>
      </c>
      <c r="I77" s="9">
        <f t="shared" si="10"/>
        <v>556930.5</v>
      </c>
      <c r="J77" s="9">
        <f>J$6*G77</f>
        <v>4719.75</v>
      </c>
      <c r="K77" s="9">
        <f>ROUND(G77*$K$6,)</f>
        <v>23599</v>
      </c>
      <c r="L77" s="9">
        <v>0</v>
      </c>
      <c r="M77" s="9">
        <v>0</v>
      </c>
      <c r="N77" s="63">
        <f>H77</f>
        <v>84955.5</v>
      </c>
      <c r="O77" s="9"/>
      <c r="P77" s="9">
        <f>I77-SUM(J77:N77)</f>
        <v>443656.25</v>
      </c>
      <c r="Q77" s="36"/>
      <c r="R77" s="9">
        <v>132468</v>
      </c>
      <c r="S77" s="9">
        <v>0</v>
      </c>
      <c r="T77" s="9">
        <v>132468</v>
      </c>
      <c r="U77" s="28" t="s">
        <v>32</v>
      </c>
    </row>
    <row r="78" spans="1:75" x14ac:dyDescent="0.25">
      <c r="A78" s="20">
        <v>52326</v>
      </c>
      <c r="B78" s="36" t="s">
        <v>29</v>
      </c>
      <c r="C78" s="66">
        <v>45182</v>
      </c>
      <c r="D78" s="38">
        <v>25</v>
      </c>
      <c r="E78" s="9">
        <v>805893</v>
      </c>
      <c r="F78" s="9">
        <f>133200+880</f>
        <v>134080</v>
      </c>
      <c r="G78" s="9">
        <f>E78-F78</f>
        <v>671813</v>
      </c>
      <c r="H78" s="9">
        <f>G78*18%</f>
        <v>120926.34</v>
      </c>
      <c r="I78" s="9">
        <f t="shared" si="10"/>
        <v>792739.34</v>
      </c>
      <c r="J78" s="9">
        <f>J$6*G78</f>
        <v>6718.13</v>
      </c>
      <c r="K78" s="9">
        <f>ROUND(G78*$K$6,)</f>
        <v>33591</v>
      </c>
      <c r="L78" s="9">
        <v>0</v>
      </c>
      <c r="M78" s="9">
        <v>0</v>
      </c>
      <c r="N78" s="63">
        <f>H78</f>
        <v>120926.34</v>
      </c>
      <c r="O78" s="9">
        <v>189901</v>
      </c>
      <c r="P78" s="9">
        <f>I78-SUM(J78:O78)</f>
        <v>441602.87</v>
      </c>
      <c r="Q78" s="36"/>
      <c r="R78" s="9">
        <v>77439</v>
      </c>
      <c r="S78" s="9">
        <v>0</v>
      </c>
      <c r="T78" s="9">
        <v>77439</v>
      </c>
      <c r="U78" s="28" t="s">
        <v>34</v>
      </c>
    </row>
    <row r="79" spans="1:75" x14ac:dyDescent="0.25">
      <c r="A79" s="20">
        <v>52326</v>
      </c>
      <c r="B79" s="36" t="s">
        <v>5</v>
      </c>
      <c r="C79" s="66">
        <v>45183</v>
      </c>
      <c r="D79" s="38">
        <v>4</v>
      </c>
      <c r="E79" s="9">
        <v>98443</v>
      </c>
      <c r="F79" s="9"/>
      <c r="G79" s="9"/>
      <c r="H79" s="9"/>
      <c r="I79" s="9"/>
      <c r="J79" s="9"/>
      <c r="K79" s="9"/>
      <c r="L79" s="9"/>
      <c r="M79" s="9"/>
      <c r="N79" s="9"/>
      <c r="O79" s="9"/>
      <c r="P79" s="63">
        <f>E79</f>
        <v>98443</v>
      </c>
      <c r="Q79" s="36"/>
      <c r="R79" s="9">
        <v>200000</v>
      </c>
      <c r="S79" s="9">
        <f t="shared" ref="S79" si="11">R79*$S$6</f>
        <v>2000</v>
      </c>
      <c r="T79" s="9">
        <v>198000</v>
      </c>
      <c r="U79" s="28" t="s">
        <v>33</v>
      </c>
    </row>
    <row r="80" spans="1:75" x14ac:dyDescent="0.25">
      <c r="A80" s="20">
        <v>52326</v>
      </c>
      <c r="B80" s="36" t="s">
        <v>5</v>
      </c>
      <c r="C80" s="14"/>
      <c r="D80" s="15" t="s">
        <v>168</v>
      </c>
      <c r="E80" s="57">
        <f>N77+N78</f>
        <v>205881.84</v>
      </c>
      <c r="F80" s="9"/>
      <c r="G80" s="9"/>
      <c r="H80" s="9"/>
      <c r="I80" s="9"/>
      <c r="J80" s="9"/>
      <c r="K80" s="9"/>
      <c r="L80" s="9"/>
      <c r="M80" s="9"/>
      <c r="N80" s="9"/>
      <c r="O80" s="9"/>
      <c r="P80" s="63">
        <f>E80</f>
        <v>205881.84</v>
      </c>
      <c r="Q80" s="36"/>
      <c r="R80" s="9">
        <v>245656</v>
      </c>
      <c r="S80" s="9">
        <v>0</v>
      </c>
      <c r="T80" s="9">
        <v>245656</v>
      </c>
      <c r="U80" s="28" t="s">
        <v>101</v>
      </c>
    </row>
    <row r="81" spans="1:75" x14ac:dyDescent="0.25">
      <c r="A81" s="20">
        <v>52326</v>
      </c>
      <c r="B81" s="21"/>
      <c r="C81" s="14"/>
      <c r="D81" s="17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36"/>
      <c r="R81" s="9">
        <v>97020</v>
      </c>
      <c r="S81" s="9">
        <v>0</v>
      </c>
      <c r="T81" s="9">
        <v>97020</v>
      </c>
      <c r="U81" s="28" t="s">
        <v>102</v>
      </c>
    </row>
    <row r="82" spans="1:75" x14ac:dyDescent="0.25">
      <c r="A82" s="20">
        <v>52326</v>
      </c>
      <c r="B82" s="21"/>
      <c r="C82" s="14"/>
      <c r="D82" s="17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36"/>
      <c r="R82" s="9">
        <v>344583</v>
      </c>
      <c r="S82" s="9"/>
      <c r="T82" s="9">
        <v>344583</v>
      </c>
      <c r="U82" s="28" t="s">
        <v>117</v>
      </c>
    </row>
    <row r="83" spans="1:75" x14ac:dyDescent="0.25">
      <c r="A83" s="20">
        <v>52326</v>
      </c>
      <c r="B83" s="21"/>
      <c r="C83" s="14"/>
      <c r="D83" s="17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36"/>
      <c r="R83" s="9">
        <v>98443</v>
      </c>
      <c r="S83" s="9"/>
      <c r="T83" s="9">
        <v>98443</v>
      </c>
      <c r="U83" s="28" t="s">
        <v>118</v>
      </c>
    </row>
    <row r="84" spans="1:75" x14ac:dyDescent="0.25">
      <c r="A84" s="20">
        <v>52326</v>
      </c>
      <c r="B84" s="21"/>
      <c r="C84" s="14"/>
      <c r="D84" s="17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36"/>
      <c r="R84" s="9"/>
      <c r="S84" s="9"/>
      <c r="T84" s="80">
        <v>198000</v>
      </c>
      <c r="U84" s="81" t="s">
        <v>202</v>
      </c>
    </row>
    <row r="85" spans="1:75" s="10" customFormat="1" x14ac:dyDescent="0.25">
      <c r="A85" s="23"/>
      <c r="B85" s="24"/>
      <c r="C85" s="25"/>
      <c r="D85" s="26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65"/>
      <c r="R85" s="11"/>
      <c r="S85" s="11"/>
      <c r="T85" s="11"/>
      <c r="U85" s="23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</row>
    <row r="86" spans="1:75" x14ac:dyDescent="0.25">
      <c r="A86" s="20">
        <v>52327</v>
      </c>
      <c r="B86" s="68" t="s">
        <v>35</v>
      </c>
      <c r="C86" s="69">
        <v>44842</v>
      </c>
      <c r="D86" s="70">
        <v>20</v>
      </c>
      <c r="E86" s="71">
        <v>585352.65</v>
      </c>
      <c r="F86" s="71">
        <f>200*89.91</f>
        <v>17982</v>
      </c>
      <c r="G86" s="71">
        <f>ROUND(E86-F86,)</f>
        <v>567371</v>
      </c>
      <c r="H86" s="71">
        <f>+G86*18%</f>
        <v>102126.78</v>
      </c>
      <c r="I86" s="71">
        <f t="shared" ref="I86:I91" si="12">G86+H86</f>
        <v>669497.78</v>
      </c>
      <c r="J86" s="71">
        <f>ROUND(G86*$J$6,)</f>
        <v>5674</v>
      </c>
      <c r="K86" s="71">
        <f>ROUND(G86*$K$6,)</f>
        <v>28369</v>
      </c>
      <c r="L86" s="71">
        <f>ROUND(G86*$L$6,)</f>
        <v>28369</v>
      </c>
      <c r="M86" s="71">
        <f>ROUND(G86*$M$6,)</f>
        <v>56737</v>
      </c>
      <c r="N86" s="73">
        <f>H86</f>
        <v>102126.78</v>
      </c>
      <c r="O86" s="71">
        <v>233071</v>
      </c>
      <c r="P86" s="71">
        <f>ROUND(I86-SUM(J86:O86),0)</f>
        <v>215151</v>
      </c>
      <c r="Q86" s="64">
        <v>52327</v>
      </c>
      <c r="R86" s="9"/>
      <c r="S86" s="9"/>
      <c r="T86" s="9">
        <v>99000</v>
      </c>
      <c r="U86" s="28" t="s">
        <v>37</v>
      </c>
    </row>
    <row r="87" spans="1:75" x14ac:dyDescent="0.25">
      <c r="A87" s="20">
        <v>52327</v>
      </c>
      <c r="B87" s="68" t="s">
        <v>35</v>
      </c>
      <c r="C87" s="69">
        <v>44917</v>
      </c>
      <c r="D87" s="72">
        <v>37</v>
      </c>
      <c r="E87" s="71">
        <v>364906</v>
      </c>
      <c r="F87" s="71">
        <v>35964</v>
      </c>
      <c r="G87" s="71">
        <f>E87-F87</f>
        <v>328942</v>
      </c>
      <c r="H87" s="71">
        <f>+G87*18%</f>
        <v>59209.56</v>
      </c>
      <c r="I87" s="71">
        <f t="shared" si="12"/>
        <v>388151.56</v>
      </c>
      <c r="J87" s="71">
        <f>ROUND(G87*$J$6,)</f>
        <v>3289</v>
      </c>
      <c r="K87" s="71">
        <f>ROUND(G87*$K$6,)</f>
        <v>16447</v>
      </c>
      <c r="L87" s="71">
        <f>ROUND(G87*$L$6,)</f>
        <v>16447</v>
      </c>
      <c r="M87" s="71">
        <f>ROUND(G87*$M$6,)</f>
        <v>32894</v>
      </c>
      <c r="N87" s="73">
        <f>H87</f>
        <v>59209.56</v>
      </c>
      <c r="O87" s="71">
        <v>79813</v>
      </c>
      <c r="P87" s="71">
        <f>ROUND(I87-SUM(J87:O87),0)</f>
        <v>180052</v>
      </c>
      <c r="Q87" s="36"/>
      <c r="R87" s="9"/>
      <c r="S87" s="9"/>
      <c r="T87" s="9">
        <v>495000</v>
      </c>
      <c r="U87" s="28" t="s">
        <v>38</v>
      </c>
    </row>
    <row r="88" spans="1:75" x14ac:dyDescent="0.25">
      <c r="A88" s="20">
        <v>52327</v>
      </c>
      <c r="B88" s="68" t="s">
        <v>35</v>
      </c>
      <c r="C88" s="69">
        <v>45037</v>
      </c>
      <c r="D88" s="72">
        <v>9</v>
      </c>
      <c r="E88" s="71">
        <v>349027</v>
      </c>
      <c r="F88" s="71">
        <v>35964</v>
      </c>
      <c r="G88" s="71">
        <f>E88-F88</f>
        <v>313063</v>
      </c>
      <c r="H88" s="71">
        <f>+G88*18%</f>
        <v>56351.34</v>
      </c>
      <c r="I88" s="71">
        <f t="shared" si="12"/>
        <v>369414.33999999997</v>
      </c>
      <c r="J88" s="71">
        <f>ROUND(G88*$J$6,)</f>
        <v>3131</v>
      </c>
      <c r="K88" s="71">
        <f>ROUND(G88*$K$6,)</f>
        <v>15653</v>
      </c>
      <c r="L88" s="71">
        <f>ROUND(G88*$L$6,)</f>
        <v>15653</v>
      </c>
      <c r="M88" s="71">
        <f>ROUND(G88*$M$6,)</f>
        <v>31306</v>
      </c>
      <c r="N88" s="73">
        <f>H88</f>
        <v>56351.34</v>
      </c>
      <c r="O88" s="71"/>
      <c r="P88" s="71">
        <f>I88-SUM(J88:N88)</f>
        <v>247319.99999999997</v>
      </c>
      <c r="Q88" s="36"/>
      <c r="R88" s="9"/>
      <c r="S88" s="9"/>
      <c r="T88" s="9">
        <v>148500</v>
      </c>
      <c r="U88" s="28" t="s">
        <v>39</v>
      </c>
    </row>
    <row r="89" spans="1:75" x14ac:dyDescent="0.25">
      <c r="A89" s="20">
        <v>52327</v>
      </c>
      <c r="B89" s="68" t="s">
        <v>36</v>
      </c>
      <c r="C89" s="69">
        <v>44975</v>
      </c>
      <c r="D89" s="72">
        <v>20</v>
      </c>
      <c r="E89" s="71">
        <v>102127</v>
      </c>
      <c r="F89" s="71"/>
      <c r="G89" s="71"/>
      <c r="H89" s="71"/>
      <c r="I89" s="71"/>
      <c r="J89" s="71"/>
      <c r="K89" s="71"/>
      <c r="L89" s="71"/>
      <c r="M89" s="71"/>
      <c r="N89" s="71"/>
      <c r="O89" s="71"/>
      <c r="P89" s="73">
        <f>E89</f>
        <v>102127</v>
      </c>
      <c r="Q89" s="36"/>
      <c r="R89" s="9"/>
      <c r="S89" s="9"/>
      <c r="T89" s="9">
        <v>99000</v>
      </c>
      <c r="U89" s="28" t="s">
        <v>40</v>
      </c>
    </row>
    <row r="90" spans="1:75" x14ac:dyDescent="0.25">
      <c r="A90" s="20">
        <v>52327</v>
      </c>
      <c r="B90" s="68" t="s">
        <v>36</v>
      </c>
      <c r="C90" s="71"/>
      <c r="D90" s="72">
        <v>37</v>
      </c>
      <c r="E90" s="71">
        <v>59209</v>
      </c>
      <c r="F90" s="71"/>
      <c r="G90" s="71"/>
      <c r="H90" s="71"/>
      <c r="I90" s="71"/>
      <c r="J90" s="71"/>
      <c r="K90" s="71"/>
      <c r="L90" s="71"/>
      <c r="M90" s="71"/>
      <c r="N90" s="71"/>
      <c r="O90" s="71"/>
      <c r="P90" s="73">
        <f>E90</f>
        <v>59209</v>
      </c>
      <c r="Q90" s="36"/>
      <c r="R90" s="9"/>
      <c r="S90" s="9"/>
      <c r="T90" s="9">
        <v>102127</v>
      </c>
      <c r="U90" s="28" t="s">
        <v>41</v>
      </c>
    </row>
    <row r="91" spans="1:75" x14ac:dyDescent="0.25">
      <c r="A91" s="20">
        <v>52327</v>
      </c>
      <c r="B91" s="68" t="s">
        <v>35</v>
      </c>
      <c r="C91" s="69">
        <v>45129</v>
      </c>
      <c r="D91" s="72">
        <v>19</v>
      </c>
      <c r="E91" s="71">
        <v>952136.5</v>
      </c>
      <c r="F91" s="71">
        <f>136647+1600</f>
        <v>138247</v>
      </c>
      <c r="G91" s="71">
        <f>E91-F91</f>
        <v>813889.5</v>
      </c>
      <c r="H91" s="71">
        <f>+G91*18%</f>
        <v>146500.10999999999</v>
      </c>
      <c r="I91" s="71">
        <f t="shared" si="12"/>
        <v>960389.61</v>
      </c>
      <c r="J91" s="71">
        <f>ROUND(G91*$J$6,)</f>
        <v>8139</v>
      </c>
      <c r="K91" s="71">
        <f>ROUND(G91*$K$6,)</f>
        <v>40694</v>
      </c>
      <c r="L91" s="71">
        <v>0</v>
      </c>
      <c r="M91" s="71">
        <v>0</v>
      </c>
      <c r="N91" s="73">
        <f>H91</f>
        <v>146500.10999999999</v>
      </c>
      <c r="O91" s="71">
        <v>288736</v>
      </c>
      <c r="P91" s="71">
        <f>I91-SUM(J91:O91)</f>
        <v>476320.5</v>
      </c>
      <c r="Q91" s="36"/>
      <c r="R91" s="9"/>
      <c r="S91" s="9"/>
      <c r="T91" s="9">
        <v>198000</v>
      </c>
      <c r="U91" s="28" t="s">
        <v>42</v>
      </c>
    </row>
    <row r="92" spans="1:75" x14ac:dyDescent="0.25">
      <c r="A92" s="20">
        <v>52327</v>
      </c>
      <c r="B92" s="68" t="s">
        <v>36</v>
      </c>
      <c r="C92" s="69"/>
      <c r="D92" s="72" t="s">
        <v>167</v>
      </c>
      <c r="E92" s="71">
        <f>N88+N91</f>
        <v>202851.44999999998</v>
      </c>
      <c r="F92" s="71"/>
      <c r="G92" s="71"/>
      <c r="H92" s="71"/>
      <c r="I92" s="71"/>
      <c r="J92" s="71"/>
      <c r="K92" s="71"/>
      <c r="L92" s="71"/>
      <c r="M92" s="71"/>
      <c r="N92" s="71"/>
      <c r="O92" s="71"/>
      <c r="P92" s="73">
        <f>E92</f>
        <v>202851.44999999998</v>
      </c>
      <c r="Q92" s="36"/>
      <c r="R92" s="9"/>
      <c r="S92" s="9"/>
      <c r="T92" s="9">
        <v>138553</v>
      </c>
      <c r="U92" s="28" t="s">
        <v>119</v>
      </c>
    </row>
    <row r="93" spans="1:75" x14ac:dyDescent="0.25">
      <c r="A93" s="20">
        <v>52327</v>
      </c>
      <c r="B93" s="68"/>
      <c r="C93" s="69"/>
      <c r="D93" s="72"/>
      <c r="E93" s="71"/>
      <c r="F93" s="71"/>
      <c r="G93" s="71"/>
      <c r="H93" s="71"/>
      <c r="I93" s="71"/>
      <c r="J93" s="71"/>
      <c r="K93" s="71"/>
      <c r="L93" s="71"/>
      <c r="M93" s="71"/>
      <c r="N93" s="71"/>
      <c r="O93" s="71"/>
      <c r="P93" s="73"/>
      <c r="Q93" s="36"/>
      <c r="R93" s="9"/>
      <c r="S93" s="9"/>
      <c r="T93" s="80">
        <v>396000</v>
      </c>
      <c r="U93" s="81" t="s">
        <v>203</v>
      </c>
    </row>
    <row r="94" spans="1:75" s="10" customFormat="1" x14ac:dyDescent="0.25">
      <c r="A94" s="23"/>
      <c r="B94" s="24"/>
      <c r="C94" s="25"/>
      <c r="D94" s="26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65"/>
      <c r="R94" s="11"/>
      <c r="S94" s="11"/>
      <c r="T94" s="11"/>
      <c r="U94" s="23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</row>
    <row r="95" spans="1:75" x14ac:dyDescent="0.25">
      <c r="A95" s="20">
        <v>52524</v>
      </c>
      <c r="B95" s="21" t="s">
        <v>43</v>
      </c>
      <c r="C95" s="14">
        <v>44917</v>
      </c>
      <c r="D95" s="17">
        <v>36</v>
      </c>
      <c r="E95" s="9">
        <v>517159</v>
      </c>
      <c r="F95" s="9">
        <v>38661</v>
      </c>
      <c r="G95" s="9">
        <v>478498</v>
      </c>
      <c r="H95" s="9">
        <v>86130</v>
      </c>
      <c r="I95" s="9">
        <v>564628</v>
      </c>
      <c r="J95" s="9">
        <v>4785</v>
      </c>
      <c r="K95" s="9">
        <v>23925</v>
      </c>
      <c r="L95" s="9">
        <v>23925</v>
      </c>
      <c r="M95" s="9">
        <v>47850</v>
      </c>
      <c r="N95" s="63">
        <v>86130</v>
      </c>
      <c r="O95" s="9">
        <v>22205</v>
      </c>
      <c r="P95" s="9">
        <v>355808</v>
      </c>
      <c r="Q95" s="64">
        <v>52524</v>
      </c>
      <c r="R95" s="9"/>
      <c r="S95" s="9"/>
      <c r="T95" s="9">
        <v>148500</v>
      </c>
      <c r="U95" s="28" t="s">
        <v>44</v>
      </c>
    </row>
    <row r="96" spans="1:75" x14ac:dyDescent="0.25">
      <c r="A96" s="20">
        <v>52524</v>
      </c>
      <c r="B96" s="21" t="s">
        <v>43</v>
      </c>
      <c r="C96" s="14">
        <v>45088</v>
      </c>
      <c r="D96" s="17">
        <v>3</v>
      </c>
      <c r="E96" s="9">
        <v>763592</v>
      </c>
      <c r="F96" s="9">
        <v>103397</v>
      </c>
      <c r="G96" s="9">
        <v>660195</v>
      </c>
      <c r="H96" s="9">
        <v>118835</v>
      </c>
      <c r="I96" s="9">
        <v>779030</v>
      </c>
      <c r="J96" s="9">
        <v>6602</v>
      </c>
      <c r="K96" s="9">
        <v>33010</v>
      </c>
      <c r="L96" s="9">
        <v>33010</v>
      </c>
      <c r="M96" s="9">
        <v>66020</v>
      </c>
      <c r="N96" s="63">
        <v>118835</v>
      </c>
      <c r="O96" s="9">
        <v>29765</v>
      </c>
      <c r="P96" s="9">
        <v>491788</v>
      </c>
      <c r="Q96" s="36"/>
      <c r="R96" s="9"/>
      <c r="S96" s="9"/>
      <c r="T96" s="9">
        <v>148500</v>
      </c>
      <c r="U96" s="28" t="s">
        <v>45</v>
      </c>
    </row>
    <row r="97" spans="1:75" x14ac:dyDescent="0.25">
      <c r="A97" s="20">
        <v>52524</v>
      </c>
      <c r="B97" s="21" t="s">
        <v>5</v>
      </c>
      <c r="C97" s="14">
        <v>44917</v>
      </c>
      <c r="D97" s="17">
        <v>36</v>
      </c>
      <c r="E97" s="9">
        <v>86130</v>
      </c>
      <c r="F97" s="9">
        <v>0</v>
      </c>
      <c r="G97" s="9"/>
      <c r="H97" s="9"/>
      <c r="I97" s="9"/>
      <c r="J97" s="9"/>
      <c r="K97" s="9"/>
      <c r="L97" s="9"/>
      <c r="M97" s="9"/>
      <c r="N97" s="9"/>
      <c r="O97" s="9"/>
      <c r="P97" s="63">
        <f>E97</f>
        <v>86130</v>
      </c>
      <c r="Q97" s="36"/>
      <c r="R97" s="9"/>
      <c r="S97" s="9"/>
      <c r="T97" s="9">
        <v>58808</v>
      </c>
      <c r="U97" s="28" t="s">
        <v>46</v>
      </c>
    </row>
    <row r="98" spans="1:75" x14ac:dyDescent="0.25">
      <c r="A98" s="20">
        <v>52524</v>
      </c>
      <c r="B98" s="21" t="s">
        <v>5</v>
      </c>
      <c r="C98" s="14">
        <v>45183</v>
      </c>
      <c r="D98" s="17">
        <v>3</v>
      </c>
      <c r="E98" s="9">
        <v>118835</v>
      </c>
      <c r="F98" s="9"/>
      <c r="G98" s="9"/>
      <c r="H98" s="9"/>
      <c r="I98" s="9"/>
      <c r="J98" s="9"/>
      <c r="K98" s="9"/>
      <c r="L98" s="9"/>
      <c r="M98" s="9"/>
      <c r="N98" s="9"/>
      <c r="O98" s="9"/>
      <c r="P98" s="63">
        <f>E98</f>
        <v>118835</v>
      </c>
      <c r="Q98" s="36"/>
      <c r="R98" s="9"/>
      <c r="S98" s="9"/>
      <c r="T98" s="9">
        <v>491789</v>
      </c>
      <c r="U98" s="28" t="s">
        <v>47</v>
      </c>
    </row>
    <row r="99" spans="1:75" x14ac:dyDescent="0.25">
      <c r="A99" s="20">
        <v>52524</v>
      </c>
      <c r="B99" s="21"/>
      <c r="C99" s="14"/>
      <c r="D99" s="17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36"/>
      <c r="R99" s="9"/>
      <c r="S99" s="9"/>
      <c r="T99" s="9">
        <v>148500</v>
      </c>
      <c r="U99" s="28" t="s">
        <v>48</v>
      </c>
    </row>
    <row r="100" spans="1:75" x14ac:dyDescent="0.25">
      <c r="A100" s="20">
        <v>52524</v>
      </c>
      <c r="B100" s="21"/>
      <c r="C100" s="14"/>
      <c r="D100" s="17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36"/>
      <c r="R100" s="9"/>
      <c r="S100" s="9"/>
      <c r="T100" s="9">
        <v>86130</v>
      </c>
      <c r="U100" s="28" t="s">
        <v>103</v>
      </c>
    </row>
    <row r="101" spans="1:75" x14ac:dyDescent="0.25">
      <c r="A101" s="20">
        <v>52524</v>
      </c>
      <c r="B101" s="21"/>
      <c r="C101" s="14"/>
      <c r="D101" s="17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36"/>
      <c r="R101" s="9"/>
      <c r="S101" s="9"/>
      <c r="T101" s="9">
        <v>117810</v>
      </c>
      <c r="U101" s="28" t="s">
        <v>104</v>
      </c>
    </row>
    <row r="102" spans="1:75" x14ac:dyDescent="0.25">
      <c r="A102" s="20">
        <v>52524</v>
      </c>
      <c r="B102" s="21"/>
      <c r="C102" s="14"/>
      <c r="D102" s="17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36"/>
      <c r="R102" s="9"/>
      <c r="S102" s="9"/>
      <c r="T102" s="9">
        <v>118835</v>
      </c>
      <c r="U102" s="28" t="s">
        <v>120</v>
      </c>
    </row>
    <row r="103" spans="1:75" s="10" customFormat="1" x14ac:dyDescent="0.25">
      <c r="A103" s="23"/>
      <c r="B103" s="24"/>
      <c r="C103" s="25"/>
      <c r="D103" s="26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65"/>
      <c r="R103" s="11"/>
      <c r="S103" s="11"/>
      <c r="T103" s="11"/>
      <c r="U103" s="23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</row>
    <row r="104" spans="1:75" x14ac:dyDescent="0.25">
      <c r="A104" s="20">
        <v>52525</v>
      </c>
      <c r="B104" s="21" t="s">
        <v>49</v>
      </c>
      <c r="C104" s="14">
        <v>44921</v>
      </c>
      <c r="D104" s="17">
        <v>38</v>
      </c>
      <c r="E104" s="9">
        <v>1049484</v>
      </c>
      <c r="F104" s="9">
        <v>28771.199999999997</v>
      </c>
      <c r="G104" s="9">
        <v>1020713</v>
      </c>
      <c r="H104" s="9">
        <v>183728</v>
      </c>
      <c r="I104" s="9">
        <v>1204441</v>
      </c>
      <c r="J104" s="9">
        <v>10207</v>
      </c>
      <c r="K104" s="9">
        <v>51036</v>
      </c>
      <c r="L104" s="9">
        <v>51036</v>
      </c>
      <c r="M104" s="9">
        <v>102071</v>
      </c>
      <c r="N104" s="63">
        <v>183728</v>
      </c>
      <c r="O104" s="9">
        <v>307002</v>
      </c>
      <c r="P104" s="9">
        <v>499361</v>
      </c>
      <c r="Q104" s="64">
        <v>52525</v>
      </c>
      <c r="R104" s="9"/>
      <c r="S104" s="9"/>
      <c r="T104" s="9">
        <v>99000</v>
      </c>
      <c r="U104" s="28" t="s">
        <v>50</v>
      </c>
    </row>
    <row r="105" spans="1:75" x14ac:dyDescent="0.25">
      <c r="A105" s="20">
        <v>52525</v>
      </c>
      <c r="B105" s="21" t="s">
        <v>49</v>
      </c>
      <c r="C105" s="14">
        <v>45325</v>
      </c>
      <c r="D105" s="17">
        <v>49</v>
      </c>
      <c r="E105" s="9">
        <v>689680</v>
      </c>
      <c r="F105" s="9">
        <v>206560</v>
      </c>
      <c r="G105" s="9">
        <f>E105-F105</f>
        <v>483120</v>
      </c>
      <c r="H105" s="9">
        <f>G105*18%</f>
        <v>86961.599999999991</v>
      </c>
      <c r="I105" s="9">
        <f>G105+H105</f>
        <v>570081.6</v>
      </c>
      <c r="J105" s="9">
        <f>G105*1%</f>
        <v>4831.2</v>
      </c>
      <c r="K105" s="9">
        <f>G105*5%</f>
        <v>24156</v>
      </c>
      <c r="L105" s="9">
        <f>G105*10%</f>
        <v>48312</v>
      </c>
      <c r="M105" s="9">
        <f>G105*10%</f>
        <v>48312</v>
      </c>
      <c r="N105" s="63">
        <f>H105</f>
        <v>86961.599999999991</v>
      </c>
      <c r="O105" s="9">
        <v>67405</v>
      </c>
      <c r="P105" s="9">
        <f>G105-J105-K105-L105-M105-O105</f>
        <v>290103.8</v>
      </c>
      <c r="Q105" s="36"/>
      <c r="R105" s="9"/>
      <c r="S105" s="9"/>
      <c r="T105" s="9">
        <v>400361</v>
      </c>
      <c r="U105" s="28" t="s">
        <v>51</v>
      </c>
    </row>
    <row r="106" spans="1:75" x14ac:dyDescent="0.25">
      <c r="A106" s="20">
        <v>52525</v>
      </c>
      <c r="B106" s="21" t="s">
        <v>5</v>
      </c>
      <c r="C106" s="14"/>
      <c r="D106" s="17">
        <v>38</v>
      </c>
      <c r="E106" s="9">
        <f>N104</f>
        <v>183728</v>
      </c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63">
        <f>E106</f>
        <v>183728</v>
      </c>
      <c r="Q106" s="36"/>
      <c r="R106" s="9"/>
      <c r="S106" s="9"/>
      <c r="T106" s="9">
        <v>148500</v>
      </c>
      <c r="U106" s="28" t="s">
        <v>121</v>
      </c>
    </row>
    <row r="107" spans="1:75" x14ac:dyDescent="0.25">
      <c r="A107" s="20">
        <v>52525</v>
      </c>
      <c r="B107" s="21" t="s">
        <v>5</v>
      </c>
      <c r="C107" s="14"/>
      <c r="D107" s="17">
        <v>49</v>
      </c>
      <c r="E107" s="9">
        <f>H105</f>
        <v>86961.599999999991</v>
      </c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63">
        <f>N105</f>
        <v>86961.599999999991</v>
      </c>
      <c r="Q107" s="36"/>
      <c r="R107" s="9"/>
      <c r="S107" s="9"/>
      <c r="T107" s="9">
        <v>183728</v>
      </c>
      <c r="U107" s="28" t="s">
        <v>122</v>
      </c>
    </row>
    <row r="108" spans="1:75" x14ac:dyDescent="0.25">
      <c r="A108" s="20">
        <v>52525</v>
      </c>
      <c r="B108" s="21"/>
      <c r="C108" s="14"/>
      <c r="D108" s="17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36"/>
      <c r="R108" s="9"/>
      <c r="S108" s="9"/>
      <c r="T108" s="9">
        <v>198000</v>
      </c>
      <c r="U108" s="28" t="s">
        <v>123</v>
      </c>
    </row>
    <row r="109" spans="1:75" x14ac:dyDescent="0.25">
      <c r="A109" s="20">
        <v>52525</v>
      </c>
      <c r="B109" s="21"/>
      <c r="C109" s="14"/>
      <c r="D109" s="17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36"/>
      <c r="R109" s="9"/>
      <c r="S109" s="9"/>
      <c r="T109" s="80">
        <v>99000</v>
      </c>
      <c r="U109" s="81" t="s">
        <v>208</v>
      </c>
    </row>
    <row r="110" spans="1:75" s="10" customFormat="1" x14ac:dyDescent="0.25">
      <c r="A110" s="23"/>
      <c r="B110" s="24"/>
      <c r="C110" s="25"/>
      <c r="D110" s="26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65"/>
      <c r="R110" s="11"/>
      <c r="S110" s="11"/>
      <c r="T110" s="11"/>
      <c r="U110" s="23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</row>
    <row r="111" spans="1:75" x14ac:dyDescent="0.25">
      <c r="A111" s="20">
        <v>52526</v>
      </c>
      <c r="B111" s="21" t="s">
        <v>52</v>
      </c>
      <c r="C111" s="14">
        <v>44848</v>
      </c>
      <c r="D111" s="17">
        <v>23</v>
      </c>
      <c r="E111" s="9">
        <v>561990</v>
      </c>
      <c r="F111" s="9">
        <v>35964</v>
      </c>
      <c r="G111" s="9">
        <v>526026</v>
      </c>
      <c r="H111" s="9">
        <v>94685</v>
      </c>
      <c r="I111" s="9">
        <v>620711</v>
      </c>
      <c r="J111" s="9">
        <v>5260</v>
      </c>
      <c r="K111" s="9">
        <v>26301</v>
      </c>
      <c r="L111" s="9">
        <v>26301</v>
      </c>
      <c r="M111" s="9">
        <v>52603</v>
      </c>
      <c r="N111" s="63">
        <v>94685</v>
      </c>
      <c r="O111" s="9">
        <v>32828</v>
      </c>
      <c r="P111" s="9">
        <v>382733</v>
      </c>
      <c r="Q111" s="64">
        <v>52526</v>
      </c>
      <c r="R111" s="9"/>
      <c r="S111" s="9"/>
      <c r="T111" s="9">
        <v>148500</v>
      </c>
      <c r="U111" s="28" t="s">
        <v>53</v>
      </c>
    </row>
    <row r="112" spans="1:75" x14ac:dyDescent="0.25">
      <c r="A112" s="20">
        <v>52526</v>
      </c>
      <c r="B112" s="21" t="s">
        <v>52</v>
      </c>
      <c r="C112" s="14">
        <v>44909</v>
      </c>
      <c r="D112" s="17">
        <v>35</v>
      </c>
      <c r="E112" s="9">
        <v>679943.65</v>
      </c>
      <c r="F112" s="9">
        <v>26973</v>
      </c>
      <c r="G112" s="9">
        <v>652970.65</v>
      </c>
      <c r="H112" s="9">
        <v>117535</v>
      </c>
      <c r="I112" s="9">
        <v>770505.65</v>
      </c>
      <c r="J112" s="9">
        <v>6530</v>
      </c>
      <c r="K112" s="9">
        <v>32649</v>
      </c>
      <c r="L112" s="9">
        <v>32649</v>
      </c>
      <c r="M112" s="9">
        <v>65297</v>
      </c>
      <c r="N112" s="63">
        <v>117535</v>
      </c>
      <c r="O112" s="9">
        <v>463318</v>
      </c>
      <c r="P112" s="9">
        <v>52528</v>
      </c>
      <c r="Q112" s="36"/>
      <c r="R112" s="9"/>
      <c r="S112" s="9"/>
      <c r="T112" s="9">
        <v>247500</v>
      </c>
      <c r="U112" s="28" t="s">
        <v>54</v>
      </c>
    </row>
    <row r="113" spans="1:75" x14ac:dyDescent="0.25">
      <c r="A113" s="20">
        <v>52526</v>
      </c>
      <c r="B113" s="21" t="s">
        <v>5</v>
      </c>
      <c r="C113" s="14">
        <v>44975</v>
      </c>
      <c r="D113" s="17">
        <v>23</v>
      </c>
      <c r="E113" s="9">
        <v>94685</v>
      </c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63">
        <v>94685</v>
      </c>
      <c r="Q113" s="36"/>
      <c r="R113" s="9"/>
      <c r="S113" s="9"/>
      <c r="T113" s="9">
        <v>198000</v>
      </c>
      <c r="U113" s="28" t="s">
        <v>55</v>
      </c>
    </row>
    <row r="114" spans="1:75" x14ac:dyDescent="0.25">
      <c r="A114" s="20">
        <v>52526</v>
      </c>
      <c r="B114" s="21" t="s">
        <v>52</v>
      </c>
      <c r="C114" s="14">
        <v>45063</v>
      </c>
      <c r="D114" s="17">
        <v>12</v>
      </c>
      <c r="E114" s="9">
        <v>530301.91</v>
      </c>
      <c r="F114" s="9">
        <v>71928</v>
      </c>
      <c r="G114" s="9">
        <f>E114-F114</f>
        <v>458373.91000000003</v>
      </c>
      <c r="H114" s="9">
        <f>ROUND(G114*$H$6,0)</f>
        <v>82507</v>
      </c>
      <c r="I114" s="9">
        <f>G114+H114</f>
        <v>540880.91</v>
      </c>
      <c r="J114" s="9">
        <f>J$6*I114</f>
        <v>5408.8091000000004</v>
      </c>
      <c r="K114" s="9">
        <f>ROUND(G114*$K$6,)</f>
        <v>22919</v>
      </c>
      <c r="L114" s="9">
        <f>ROUND(G114*$L$6,)</f>
        <v>22919</v>
      </c>
      <c r="M114" s="9">
        <f>ROUND(G114*$M$6,)</f>
        <v>45837</v>
      </c>
      <c r="N114" s="63">
        <f>H114</f>
        <v>82507</v>
      </c>
      <c r="O114" s="9">
        <v>158128</v>
      </c>
      <c r="P114" s="9">
        <f>I114-SUM(J114:O114)</f>
        <v>203162.10090000002</v>
      </c>
      <c r="Q114" s="36"/>
      <c r="R114" s="9"/>
      <c r="S114" s="9"/>
      <c r="T114" s="9">
        <v>198000</v>
      </c>
      <c r="U114" s="28" t="s">
        <v>56</v>
      </c>
    </row>
    <row r="115" spans="1:75" x14ac:dyDescent="0.25">
      <c r="A115" s="20">
        <v>52526</v>
      </c>
      <c r="B115" s="21" t="s">
        <v>5</v>
      </c>
      <c r="C115" s="14"/>
      <c r="D115" s="17">
        <v>35</v>
      </c>
      <c r="E115" s="9">
        <f>N112</f>
        <v>117535</v>
      </c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63">
        <f>E115</f>
        <v>117535</v>
      </c>
      <c r="Q115" s="36"/>
      <c r="R115" s="9">
        <v>59468</v>
      </c>
      <c r="S115" s="9">
        <v>0</v>
      </c>
      <c r="T115" s="9">
        <v>59468</v>
      </c>
      <c r="U115" s="28" t="s">
        <v>113</v>
      </c>
    </row>
    <row r="116" spans="1:75" x14ac:dyDescent="0.25">
      <c r="A116" s="20">
        <v>52526</v>
      </c>
      <c r="B116" s="21" t="s">
        <v>52</v>
      </c>
      <c r="C116" s="14">
        <v>45270</v>
      </c>
      <c r="D116" s="17" t="s">
        <v>165</v>
      </c>
      <c r="E116" s="9">
        <v>1526093.26</v>
      </c>
      <c r="F116" s="9">
        <f>99900+3300</f>
        <v>103200</v>
      </c>
      <c r="G116" s="9">
        <f>E116-F116</f>
        <v>1422893.26</v>
      </c>
      <c r="H116" s="9">
        <f>ROUND(G116*$H$6,0)</f>
        <v>256121</v>
      </c>
      <c r="I116" s="9">
        <f>G116+H116</f>
        <v>1679014.26</v>
      </c>
      <c r="J116" s="9">
        <f>J$6*G116</f>
        <v>14228.9326</v>
      </c>
      <c r="K116" s="9">
        <f>ROUND(G116*$K$6,)</f>
        <v>71145</v>
      </c>
      <c r="L116" s="9">
        <f>ROUND(G116*$L$6,)</f>
        <v>71145</v>
      </c>
      <c r="M116" s="9">
        <f>ROUND(G116*$M$6,)</f>
        <v>142289</v>
      </c>
      <c r="N116" s="63">
        <f>H116</f>
        <v>256121</v>
      </c>
      <c r="O116" s="9">
        <v>531424</v>
      </c>
      <c r="P116" s="9">
        <f>I116-SUM(J116:O116)</f>
        <v>592661.32740000007</v>
      </c>
      <c r="Q116" s="36"/>
      <c r="R116" s="9"/>
      <c r="S116" s="9"/>
      <c r="T116" s="9">
        <v>592661</v>
      </c>
      <c r="U116" s="28" t="s">
        <v>124</v>
      </c>
    </row>
    <row r="117" spans="1:75" x14ac:dyDescent="0.25">
      <c r="A117" s="20">
        <v>52526</v>
      </c>
      <c r="B117" s="21" t="s">
        <v>5</v>
      </c>
      <c r="C117" s="14"/>
      <c r="D117" s="17" t="s">
        <v>166</v>
      </c>
      <c r="E117" s="9">
        <f>N114+N116</f>
        <v>338628</v>
      </c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63">
        <f>E117</f>
        <v>338628</v>
      </c>
      <c r="Q117" s="36"/>
      <c r="R117" s="9"/>
      <c r="S117" s="9"/>
      <c r="T117" s="80">
        <v>396000</v>
      </c>
      <c r="U117" s="81" t="s">
        <v>204</v>
      </c>
    </row>
    <row r="118" spans="1:75" s="10" customFormat="1" x14ac:dyDescent="0.25">
      <c r="A118" s="23"/>
      <c r="B118" s="24"/>
      <c r="C118" s="25"/>
      <c r="D118" s="26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64">
        <f>A119</f>
        <v>53092</v>
      </c>
      <c r="R118" s="11"/>
      <c r="S118" s="11"/>
      <c r="T118" s="11"/>
      <c r="U118" s="23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</row>
    <row r="119" spans="1:75" ht="37.5" x14ac:dyDescent="0.25">
      <c r="A119" s="20">
        <v>53092</v>
      </c>
      <c r="B119" s="21" t="s">
        <v>57</v>
      </c>
      <c r="C119" s="14">
        <v>44907</v>
      </c>
      <c r="D119" s="17">
        <v>33</v>
      </c>
      <c r="E119" s="9">
        <v>1084843</v>
      </c>
      <c r="F119" s="9">
        <v>41359</v>
      </c>
      <c r="G119" s="9">
        <f t="shared" ref="G119:G122" si="13">E119-F119</f>
        <v>1043484</v>
      </c>
      <c r="H119" s="9">
        <v>187827</v>
      </c>
      <c r="I119" s="9">
        <v>1231311</v>
      </c>
      <c r="J119" s="9">
        <v>10434.84</v>
      </c>
      <c r="K119" s="9">
        <v>52174.200000000004</v>
      </c>
      <c r="L119" s="9">
        <v>52174.200000000004</v>
      </c>
      <c r="M119" s="9">
        <v>104348.40000000001</v>
      </c>
      <c r="N119" s="63">
        <v>187827</v>
      </c>
      <c r="O119" s="9">
        <v>239033</v>
      </c>
      <c r="P119" s="9">
        <v>585319</v>
      </c>
      <c r="Q119" s="36"/>
      <c r="R119" s="9"/>
      <c r="S119" s="9"/>
      <c r="T119" s="9">
        <v>148500</v>
      </c>
      <c r="U119" s="28" t="s">
        <v>58</v>
      </c>
    </row>
    <row r="120" spans="1:75" ht="37.5" x14ac:dyDescent="0.25">
      <c r="A120" s="20">
        <v>53092</v>
      </c>
      <c r="B120" s="21" t="s">
        <v>57</v>
      </c>
      <c r="C120" s="14">
        <v>45056</v>
      </c>
      <c r="D120" s="17">
        <v>11</v>
      </c>
      <c r="E120" s="9">
        <v>819918</v>
      </c>
      <c r="F120" s="9">
        <v>62937</v>
      </c>
      <c r="G120" s="9">
        <f t="shared" si="13"/>
        <v>756981</v>
      </c>
      <c r="H120" s="9">
        <v>136257</v>
      </c>
      <c r="I120" s="9">
        <v>893238</v>
      </c>
      <c r="J120" s="9">
        <v>7569.81</v>
      </c>
      <c r="K120" s="9">
        <v>37849.050000000003</v>
      </c>
      <c r="L120" s="9">
        <v>37849.050000000003</v>
      </c>
      <c r="M120" s="9">
        <v>75698.100000000006</v>
      </c>
      <c r="N120" s="63">
        <v>136257</v>
      </c>
      <c r="O120" s="9">
        <v>34687</v>
      </c>
      <c r="P120" s="9">
        <v>563328</v>
      </c>
      <c r="Q120" s="36"/>
      <c r="R120" s="9"/>
      <c r="S120" s="9"/>
      <c r="T120" s="9">
        <v>396000</v>
      </c>
      <c r="U120" s="28" t="s">
        <v>59</v>
      </c>
    </row>
    <row r="121" spans="1:75" ht="37.5" x14ac:dyDescent="0.25">
      <c r="A121" s="20">
        <v>53092</v>
      </c>
      <c r="B121" s="21" t="s">
        <v>57</v>
      </c>
      <c r="C121" s="14">
        <v>45275</v>
      </c>
      <c r="D121" s="17">
        <v>43</v>
      </c>
      <c r="E121" s="9">
        <v>1641332</v>
      </c>
      <c r="F121" s="9">
        <v>163464</v>
      </c>
      <c r="G121" s="9">
        <f t="shared" si="13"/>
        <v>1477868</v>
      </c>
      <c r="H121" s="9">
        <f>G121*18%</f>
        <v>266016.24</v>
      </c>
      <c r="I121" s="9">
        <f>G121+H121</f>
        <v>1743884.24</v>
      </c>
      <c r="J121" s="9">
        <f>G121*1%</f>
        <v>14778.68</v>
      </c>
      <c r="K121" s="9">
        <f>G121*5%</f>
        <v>73893.400000000009</v>
      </c>
      <c r="L121" s="9">
        <f>G121*10%</f>
        <v>147786.80000000002</v>
      </c>
      <c r="M121" s="9">
        <f>G121*10%</f>
        <v>147786.80000000002</v>
      </c>
      <c r="N121" s="63">
        <f>H121</f>
        <v>266016.24</v>
      </c>
      <c r="O121" s="9">
        <v>73178</v>
      </c>
      <c r="P121" s="9">
        <f>G121-J121-K121-L121-M121-O121</f>
        <v>1020444.3200000001</v>
      </c>
      <c r="Q121" s="36"/>
      <c r="R121" s="9"/>
      <c r="S121" s="9"/>
      <c r="T121" s="9">
        <v>40820</v>
      </c>
      <c r="U121" s="28" t="s">
        <v>60</v>
      </c>
    </row>
    <row r="122" spans="1:75" x14ac:dyDescent="0.25">
      <c r="A122" s="20">
        <v>53092</v>
      </c>
      <c r="B122" s="21" t="s">
        <v>112</v>
      </c>
      <c r="C122" s="14"/>
      <c r="D122" s="17">
        <v>33</v>
      </c>
      <c r="E122" s="9">
        <f>N119</f>
        <v>187827</v>
      </c>
      <c r="F122" s="9"/>
      <c r="G122" s="9">
        <f t="shared" si="13"/>
        <v>187827</v>
      </c>
      <c r="H122" s="9"/>
      <c r="I122" s="9">
        <f>G122+H122</f>
        <v>187827</v>
      </c>
      <c r="J122" s="9"/>
      <c r="K122" s="9"/>
      <c r="L122" s="9"/>
      <c r="M122" s="9"/>
      <c r="N122" s="9"/>
      <c r="O122" s="9"/>
      <c r="P122" s="63">
        <f>ROUND(I122-SUM(J122:O122),0)</f>
        <v>187827</v>
      </c>
      <c r="Q122" s="36"/>
      <c r="R122" s="9"/>
      <c r="S122" s="9"/>
      <c r="T122" s="9">
        <v>59400</v>
      </c>
      <c r="U122" s="28" t="s">
        <v>61</v>
      </c>
    </row>
    <row r="123" spans="1:75" x14ac:dyDescent="0.25">
      <c r="A123" s="20">
        <v>53092</v>
      </c>
      <c r="B123" s="21" t="s">
        <v>112</v>
      </c>
      <c r="C123" s="14"/>
      <c r="D123" s="17">
        <v>11</v>
      </c>
      <c r="E123" s="9">
        <f>N120</f>
        <v>136257</v>
      </c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63">
        <f>E123</f>
        <v>136257</v>
      </c>
      <c r="Q123" s="36"/>
      <c r="R123" s="9"/>
      <c r="S123" s="9"/>
      <c r="T123" s="9">
        <v>40820</v>
      </c>
      <c r="U123" s="28" t="s">
        <v>62</v>
      </c>
    </row>
    <row r="124" spans="1:75" x14ac:dyDescent="0.25">
      <c r="A124" s="20">
        <v>53092</v>
      </c>
      <c r="B124" s="21" t="s">
        <v>5</v>
      </c>
      <c r="C124" s="14"/>
      <c r="D124" s="17">
        <v>43</v>
      </c>
      <c r="E124" s="9">
        <f>N121</f>
        <v>266016.24</v>
      </c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63">
        <f>E124</f>
        <v>266016.24</v>
      </c>
      <c r="Q124" s="36"/>
      <c r="R124" s="9"/>
      <c r="S124" s="9"/>
      <c r="T124" s="9">
        <v>59400</v>
      </c>
      <c r="U124" s="28" t="s">
        <v>61</v>
      </c>
    </row>
    <row r="125" spans="1:75" x14ac:dyDescent="0.25">
      <c r="A125" s="20">
        <v>53092</v>
      </c>
      <c r="B125" s="21"/>
      <c r="C125" s="14"/>
      <c r="D125" s="17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36"/>
      <c r="R125" s="9"/>
      <c r="S125" s="9"/>
      <c r="T125" s="9">
        <v>99000</v>
      </c>
      <c r="U125" s="28" t="s">
        <v>63</v>
      </c>
    </row>
    <row r="126" spans="1:75" x14ac:dyDescent="0.25">
      <c r="A126" s="20">
        <v>53092</v>
      </c>
      <c r="B126" s="21"/>
      <c r="C126" s="14"/>
      <c r="D126" s="17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36"/>
      <c r="R126" s="9"/>
      <c r="S126" s="9"/>
      <c r="T126" s="9">
        <v>495000</v>
      </c>
      <c r="U126" s="28" t="s">
        <v>64</v>
      </c>
    </row>
    <row r="127" spans="1:75" x14ac:dyDescent="0.25">
      <c r="A127" s="20">
        <v>53092</v>
      </c>
      <c r="B127" s="21"/>
      <c r="C127" s="14"/>
      <c r="D127" s="17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36"/>
      <c r="R127" s="9"/>
      <c r="S127" s="9"/>
      <c r="T127" s="9">
        <v>97756</v>
      </c>
      <c r="U127" s="28" t="s">
        <v>125</v>
      </c>
    </row>
    <row r="128" spans="1:75" x14ac:dyDescent="0.25">
      <c r="A128" s="20">
        <v>53092</v>
      </c>
      <c r="B128" s="21"/>
      <c r="C128" s="14"/>
      <c r="D128" s="17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36"/>
      <c r="R128" s="9"/>
      <c r="S128" s="9"/>
      <c r="T128" s="9">
        <v>198000</v>
      </c>
      <c r="U128" s="28" t="s">
        <v>126</v>
      </c>
    </row>
    <row r="129" spans="1:75" x14ac:dyDescent="0.25">
      <c r="A129" s="20">
        <v>53092</v>
      </c>
      <c r="B129" s="21"/>
      <c r="C129" s="14"/>
      <c r="D129" s="17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36"/>
      <c r="R129" s="9"/>
      <c r="S129" s="9"/>
      <c r="T129" s="9">
        <v>882444</v>
      </c>
      <c r="U129" s="28" t="s">
        <v>148</v>
      </c>
    </row>
    <row r="130" spans="1:75" x14ac:dyDescent="0.25">
      <c r="A130" s="20">
        <v>53092</v>
      </c>
      <c r="B130" s="21"/>
      <c r="C130" s="14"/>
      <c r="D130" s="17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36"/>
      <c r="R130" s="9"/>
      <c r="S130" s="9"/>
      <c r="T130" s="9">
        <v>198000</v>
      </c>
      <c r="U130" s="28" t="s">
        <v>188</v>
      </c>
    </row>
    <row r="131" spans="1:75" x14ac:dyDescent="0.25">
      <c r="A131" s="20"/>
      <c r="B131" s="21"/>
      <c r="C131" s="14"/>
      <c r="D131" s="17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36"/>
      <c r="R131" s="9"/>
      <c r="S131" s="9"/>
      <c r="T131" s="9"/>
      <c r="U131" s="28"/>
    </row>
    <row r="132" spans="1:75" s="10" customFormat="1" x14ac:dyDescent="0.25">
      <c r="A132" s="23"/>
      <c r="B132" s="24"/>
      <c r="C132" s="25"/>
      <c r="D132" s="26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64">
        <f>A133</f>
        <v>53093</v>
      </c>
      <c r="R132" s="11"/>
      <c r="S132" s="11"/>
      <c r="T132" s="11"/>
      <c r="U132" s="23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</row>
    <row r="133" spans="1:75" ht="37.5" x14ac:dyDescent="0.25">
      <c r="A133" s="20">
        <v>53093</v>
      </c>
      <c r="B133" s="21" t="s">
        <v>57</v>
      </c>
      <c r="C133" s="14">
        <v>44900</v>
      </c>
      <c r="D133" s="17">
        <v>31</v>
      </c>
      <c r="E133" s="9">
        <v>694165</v>
      </c>
      <c r="F133" s="9">
        <v>22478</v>
      </c>
      <c r="G133" s="9">
        <v>671687</v>
      </c>
      <c r="H133" s="9">
        <v>120904</v>
      </c>
      <c r="I133" s="9">
        <v>792591</v>
      </c>
      <c r="J133" s="9">
        <v>6716.87</v>
      </c>
      <c r="K133" s="9">
        <v>33584.35</v>
      </c>
      <c r="L133" s="9">
        <v>33584.35</v>
      </c>
      <c r="M133" s="9">
        <v>67168.7</v>
      </c>
      <c r="N133" s="63">
        <v>120904</v>
      </c>
      <c r="O133" s="9">
        <v>140114</v>
      </c>
      <c r="P133" s="9">
        <v>390519</v>
      </c>
      <c r="Q133" s="36"/>
      <c r="R133" s="9"/>
      <c r="S133" s="9"/>
      <c r="T133" s="9">
        <v>99000</v>
      </c>
      <c r="U133" s="28" t="s">
        <v>65</v>
      </c>
    </row>
    <row r="134" spans="1:75" ht="37.5" x14ac:dyDescent="0.25">
      <c r="A134" s="20">
        <v>53093</v>
      </c>
      <c r="B134" s="21" t="s">
        <v>57</v>
      </c>
      <c r="C134" s="14">
        <v>44910</v>
      </c>
      <c r="D134" s="17">
        <v>44</v>
      </c>
      <c r="E134" s="9">
        <v>868087</v>
      </c>
      <c r="F134" s="9">
        <v>232164</v>
      </c>
      <c r="G134" s="9">
        <f>E134-F134</f>
        <v>635923</v>
      </c>
      <c r="H134" s="9">
        <f>G134*18%</f>
        <v>114466.14</v>
      </c>
      <c r="I134" s="9">
        <f>G134+H134</f>
        <v>750389.14</v>
      </c>
      <c r="J134" s="9">
        <f>G134*1%</f>
        <v>6359.2300000000005</v>
      </c>
      <c r="K134" s="9">
        <f>G134*5%</f>
        <v>31796.15</v>
      </c>
      <c r="L134" s="9">
        <f>G134*10%</f>
        <v>63592.3</v>
      </c>
      <c r="M134" s="9">
        <f>G134*10%</f>
        <v>63592.3</v>
      </c>
      <c r="N134" s="63">
        <f>H134</f>
        <v>114466.14</v>
      </c>
      <c r="O134" s="9">
        <v>14732</v>
      </c>
      <c r="P134" s="9">
        <f>G134-J134-K134-L134-M134-O134</f>
        <v>455851.01999999996</v>
      </c>
      <c r="Q134" s="36"/>
      <c r="R134" s="9"/>
      <c r="S134" s="9"/>
      <c r="T134" s="9">
        <v>29700</v>
      </c>
      <c r="U134" s="28" t="s">
        <v>66</v>
      </c>
    </row>
    <row r="135" spans="1:75" x14ac:dyDescent="0.25">
      <c r="A135" s="20">
        <v>53093</v>
      </c>
      <c r="B135" s="21" t="s">
        <v>5</v>
      </c>
      <c r="C135" s="14"/>
      <c r="D135" s="17">
        <v>31</v>
      </c>
      <c r="E135" s="9">
        <f>N133</f>
        <v>120904</v>
      </c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63">
        <f>E135</f>
        <v>120904</v>
      </c>
      <c r="Q135" s="36"/>
      <c r="R135" s="9"/>
      <c r="S135" s="9"/>
      <c r="T135" s="9">
        <v>148500</v>
      </c>
      <c r="U135" s="28" t="s">
        <v>67</v>
      </c>
    </row>
    <row r="136" spans="1:75" x14ac:dyDescent="0.25">
      <c r="A136" s="20">
        <v>53093</v>
      </c>
      <c r="B136" s="21" t="s">
        <v>5</v>
      </c>
      <c r="C136" s="14"/>
      <c r="D136" s="17">
        <v>44</v>
      </c>
      <c r="E136" s="9">
        <f>H134</f>
        <v>114466.14</v>
      </c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63">
        <f>E136</f>
        <v>114466.14</v>
      </c>
      <c r="Q136" s="36"/>
      <c r="R136" s="9"/>
      <c r="S136" s="9"/>
      <c r="T136" s="9">
        <v>120904</v>
      </c>
      <c r="U136" s="28" t="s">
        <v>127</v>
      </c>
    </row>
    <row r="137" spans="1:75" x14ac:dyDescent="0.25">
      <c r="A137" s="20">
        <v>53093</v>
      </c>
      <c r="B137" s="21"/>
      <c r="C137" s="14"/>
      <c r="D137" s="17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36"/>
      <c r="R137" s="9"/>
      <c r="S137" s="9"/>
      <c r="T137" s="9">
        <v>198000</v>
      </c>
      <c r="U137" s="28" t="s">
        <v>128</v>
      </c>
    </row>
    <row r="138" spans="1:75" x14ac:dyDescent="0.25">
      <c r="A138" s="20">
        <v>53093</v>
      </c>
      <c r="B138" s="21"/>
      <c r="C138" s="14"/>
      <c r="D138" s="17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36"/>
      <c r="R138" s="9"/>
      <c r="S138" s="9"/>
      <c r="T138" s="9">
        <v>76101</v>
      </c>
      <c r="U138" s="28" t="s">
        <v>147</v>
      </c>
    </row>
    <row r="139" spans="1:75" x14ac:dyDescent="0.25">
      <c r="A139" s="20">
        <v>53093</v>
      </c>
      <c r="B139" s="21"/>
      <c r="C139" s="14"/>
      <c r="D139" s="17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36"/>
      <c r="R139" s="9"/>
      <c r="S139" s="9"/>
      <c r="T139" s="9">
        <v>198000</v>
      </c>
      <c r="U139" s="28" t="s">
        <v>152</v>
      </c>
    </row>
    <row r="140" spans="1:75" x14ac:dyDescent="0.25">
      <c r="A140" s="20">
        <v>53093</v>
      </c>
      <c r="B140" s="21"/>
      <c r="C140" s="14"/>
      <c r="D140" s="17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36"/>
      <c r="R140" s="9"/>
      <c r="S140" s="9"/>
      <c r="T140" s="80">
        <v>198000</v>
      </c>
      <c r="U140" s="81" t="s">
        <v>209</v>
      </c>
    </row>
    <row r="141" spans="1:75" s="10" customFormat="1" x14ac:dyDescent="0.25">
      <c r="A141" s="23"/>
      <c r="B141" s="24"/>
      <c r="C141" s="25"/>
      <c r="D141" s="26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64">
        <f>A142</f>
        <v>53094</v>
      </c>
      <c r="R141" s="11"/>
      <c r="S141" s="11"/>
      <c r="T141" s="11"/>
      <c r="U141" s="23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</row>
    <row r="142" spans="1:75" x14ac:dyDescent="0.25">
      <c r="A142" s="20">
        <v>53094</v>
      </c>
      <c r="B142" s="21" t="s">
        <v>68</v>
      </c>
      <c r="C142" s="14">
        <v>44900</v>
      </c>
      <c r="D142" s="17">
        <v>32</v>
      </c>
      <c r="E142" s="9">
        <v>424476</v>
      </c>
      <c r="F142" s="9">
        <v>11688</v>
      </c>
      <c r="G142" s="9">
        <v>412788</v>
      </c>
      <c r="H142" s="9">
        <v>74302</v>
      </c>
      <c r="I142" s="9">
        <v>487090</v>
      </c>
      <c r="J142" s="9">
        <v>4127.88</v>
      </c>
      <c r="K142" s="9">
        <v>20639.400000000001</v>
      </c>
      <c r="L142" s="9">
        <v>20639.400000000001</v>
      </c>
      <c r="M142" s="9">
        <v>41278.800000000003</v>
      </c>
      <c r="N142" s="63">
        <v>74302</v>
      </c>
      <c r="O142" s="9">
        <v>42681</v>
      </c>
      <c r="P142" s="9">
        <v>283422</v>
      </c>
      <c r="Q142" s="36"/>
      <c r="R142" s="9"/>
      <c r="S142" s="9"/>
      <c r="T142" s="9">
        <v>99000</v>
      </c>
      <c r="U142" s="28" t="s">
        <v>69</v>
      </c>
    </row>
    <row r="143" spans="1:75" x14ac:dyDescent="0.25">
      <c r="A143" s="20">
        <v>53094</v>
      </c>
      <c r="B143" s="21" t="s">
        <v>68</v>
      </c>
      <c r="C143" s="14">
        <v>44956</v>
      </c>
      <c r="D143" s="17">
        <v>40</v>
      </c>
      <c r="E143" s="9">
        <v>477090.8</v>
      </c>
      <c r="F143" s="9">
        <v>196902.9</v>
      </c>
      <c r="G143" s="9">
        <v>280187.90000000002</v>
      </c>
      <c r="H143" s="9">
        <v>50434</v>
      </c>
      <c r="I143" s="9">
        <v>330621.90000000002</v>
      </c>
      <c r="J143" s="9">
        <v>2801.8790000000004</v>
      </c>
      <c r="K143" s="9">
        <v>14009.395000000002</v>
      </c>
      <c r="L143" s="9">
        <v>14009.395000000002</v>
      </c>
      <c r="M143" s="9">
        <v>28018.790000000005</v>
      </c>
      <c r="N143" s="63">
        <v>50434</v>
      </c>
      <c r="O143" s="9">
        <v>95397</v>
      </c>
      <c r="P143" s="9">
        <v>125951</v>
      </c>
      <c r="Q143" s="36"/>
      <c r="R143" s="9"/>
      <c r="S143" s="9"/>
      <c r="T143" s="9">
        <v>148500</v>
      </c>
      <c r="U143" s="28" t="s">
        <v>70</v>
      </c>
    </row>
    <row r="144" spans="1:75" x14ac:dyDescent="0.25">
      <c r="A144" s="20">
        <v>53094</v>
      </c>
      <c r="B144" s="21" t="s">
        <v>5</v>
      </c>
      <c r="C144" s="14"/>
      <c r="D144" s="17">
        <v>32</v>
      </c>
      <c r="E144" s="9">
        <f>N142</f>
        <v>74302</v>
      </c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63">
        <f>E144</f>
        <v>74302</v>
      </c>
      <c r="Q144" s="36"/>
      <c r="R144" s="9"/>
      <c r="S144" s="9"/>
      <c r="T144" s="9">
        <v>198000</v>
      </c>
      <c r="U144" s="28" t="s">
        <v>71</v>
      </c>
    </row>
    <row r="145" spans="1:75" x14ac:dyDescent="0.25">
      <c r="A145" s="20">
        <v>53094</v>
      </c>
      <c r="B145" s="21" t="s">
        <v>68</v>
      </c>
      <c r="C145" s="14">
        <v>45513</v>
      </c>
      <c r="D145" s="17">
        <v>11</v>
      </c>
      <c r="E145" s="9">
        <v>40968</v>
      </c>
      <c r="F145" s="9">
        <v>30328</v>
      </c>
      <c r="G145" s="9">
        <f>E145-F145</f>
        <v>10640</v>
      </c>
      <c r="H145" s="9">
        <f>G145*18%</f>
        <v>1915.1999999999998</v>
      </c>
      <c r="I145" s="9">
        <f>G145+H145</f>
        <v>12555.2</v>
      </c>
      <c r="J145" s="9">
        <f>G145*1%</f>
        <v>106.4</v>
      </c>
      <c r="K145" s="9">
        <f>G145*5%</f>
        <v>532</v>
      </c>
      <c r="L145" s="9">
        <f>G145*10%</f>
        <v>1064</v>
      </c>
      <c r="M145" s="9">
        <f>G145*10%</f>
        <v>1064</v>
      </c>
      <c r="N145" s="63">
        <f>H145</f>
        <v>1915.1999999999998</v>
      </c>
      <c r="O145" s="9">
        <v>0</v>
      </c>
      <c r="P145" s="9">
        <f>ROUND(I145-SUM(J145:O145),0)</f>
        <v>7874</v>
      </c>
      <c r="Q145" s="36"/>
      <c r="R145" s="9"/>
      <c r="S145" s="9"/>
      <c r="T145" s="9">
        <v>495000</v>
      </c>
      <c r="U145" s="28" t="s">
        <v>72</v>
      </c>
    </row>
    <row r="146" spans="1:75" x14ac:dyDescent="0.25">
      <c r="A146" s="20">
        <v>53094</v>
      </c>
      <c r="B146" s="21" t="s">
        <v>5</v>
      </c>
      <c r="C146" s="14"/>
      <c r="D146" s="17">
        <v>11</v>
      </c>
      <c r="E146" s="9">
        <f>N145</f>
        <v>1915.1999999999998</v>
      </c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63">
        <f>E146</f>
        <v>1915.1999999999998</v>
      </c>
      <c r="Q146" s="36"/>
      <c r="R146" s="9"/>
      <c r="S146" s="9"/>
      <c r="T146" s="9">
        <v>74302</v>
      </c>
      <c r="U146" s="28" t="s">
        <v>164</v>
      </c>
    </row>
    <row r="147" spans="1:75" x14ac:dyDescent="0.25">
      <c r="A147" s="20">
        <v>53094</v>
      </c>
      <c r="B147" s="21"/>
      <c r="C147" s="14"/>
      <c r="D147" s="17">
        <v>40</v>
      </c>
      <c r="E147" s="9">
        <f>H143</f>
        <v>50434</v>
      </c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63">
        <f>N143</f>
        <v>50434</v>
      </c>
      <c r="Q147" s="36"/>
      <c r="R147" s="9"/>
      <c r="S147" s="9"/>
      <c r="T147" s="9"/>
      <c r="U147" s="28"/>
    </row>
    <row r="148" spans="1:75" x14ac:dyDescent="0.25">
      <c r="A148" s="20"/>
      <c r="B148" s="21"/>
      <c r="C148" s="14"/>
      <c r="D148" s="17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36"/>
      <c r="R148" s="9"/>
      <c r="S148" s="9"/>
      <c r="T148" s="9"/>
      <c r="U148" s="28"/>
    </row>
    <row r="149" spans="1:75" s="10" customFormat="1" x14ac:dyDescent="0.25">
      <c r="A149" s="23"/>
      <c r="B149" s="24"/>
      <c r="C149" s="25"/>
      <c r="D149" s="26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65"/>
      <c r="R149" s="11"/>
      <c r="S149" s="11"/>
      <c r="T149" s="11"/>
      <c r="U149" s="23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</row>
    <row r="150" spans="1:75" x14ac:dyDescent="0.25">
      <c r="A150" s="20">
        <v>53095</v>
      </c>
      <c r="B150" s="21" t="s">
        <v>73</v>
      </c>
      <c r="C150" s="14">
        <v>45390</v>
      </c>
      <c r="D150" s="17">
        <v>2</v>
      </c>
      <c r="E150" s="9">
        <v>879182</v>
      </c>
      <c r="F150" s="9">
        <v>109690</v>
      </c>
      <c r="G150" s="9">
        <f>E150-F150</f>
        <v>769492</v>
      </c>
      <c r="H150" s="9">
        <f>G150*18%</f>
        <v>138508.56</v>
      </c>
      <c r="I150" s="9">
        <f>G150+H150</f>
        <v>908000.56</v>
      </c>
      <c r="J150" s="9">
        <f>G150*1%</f>
        <v>7694.92</v>
      </c>
      <c r="K150" s="9">
        <f>G150*5%</f>
        <v>38474.6</v>
      </c>
      <c r="L150" s="9">
        <f>G150*10%</f>
        <v>76949.2</v>
      </c>
      <c r="M150" s="9">
        <f>G150*10%</f>
        <v>76949.2</v>
      </c>
      <c r="N150" s="63">
        <f>H150</f>
        <v>138508.56</v>
      </c>
      <c r="O150" s="9">
        <v>99154</v>
      </c>
      <c r="P150" s="9">
        <f>ROUND(I150-SUM(J150:O150),0)</f>
        <v>470270</v>
      </c>
      <c r="Q150" s="64">
        <v>53095</v>
      </c>
      <c r="R150" s="9">
        <v>150000</v>
      </c>
      <c r="S150" s="9">
        <f>R150*1%</f>
        <v>1500</v>
      </c>
      <c r="T150" s="9">
        <v>148500</v>
      </c>
      <c r="U150" s="28" t="s">
        <v>74</v>
      </c>
    </row>
    <row r="151" spans="1:75" x14ac:dyDescent="0.25">
      <c r="A151" s="20">
        <v>53095</v>
      </c>
      <c r="B151" s="21" t="s">
        <v>73</v>
      </c>
      <c r="C151" s="14">
        <v>45455</v>
      </c>
      <c r="D151" s="17">
        <v>9</v>
      </c>
      <c r="E151" s="9">
        <v>683842</v>
      </c>
      <c r="F151" s="9">
        <v>59982</v>
      </c>
      <c r="G151" s="9">
        <f>E151-F151</f>
        <v>623860</v>
      </c>
      <c r="H151" s="9">
        <f>G151*18%</f>
        <v>112294.8</v>
      </c>
      <c r="I151" s="9">
        <f>G151+H151</f>
        <v>736154.8</v>
      </c>
      <c r="J151" s="9">
        <f>G151*1%</f>
        <v>6238.6</v>
      </c>
      <c r="K151" s="9">
        <f>G151*5%</f>
        <v>31193</v>
      </c>
      <c r="L151" s="9">
        <f>G151*10%</f>
        <v>62386</v>
      </c>
      <c r="M151" s="9">
        <f>G151*10%</f>
        <v>62386</v>
      </c>
      <c r="N151" s="63">
        <f>H151</f>
        <v>112294.8</v>
      </c>
      <c r="O151" s="9">
        <v>17837</v>
      </c>
      <c r="P151" s="9">
        <f>ROUND(I151-SUM(J151:O151),0)</f>
        <v>443819</v>
      </c>
      <c r="Q151" s="36"/>
      <c r="R151" s="9">
        <v>200000</v>
      </c>
      <c r="S151" s="9">
        <f t="shared" ref="S151" si="14">R151*1%</f>
        <v>2000</v>
      </c>
      <c r="T151" s="9">
        <v>198000</v>
      </c>
      <c r="U151" s="28" t="s">
        <v>75</v>
      </c>
    </row>
    <row r="152" spans="1:75" x14ac:dyDescent="0.25">
      <c r="A152" s="20">
        <v>53095</v>
      </c>
      <c r="B152" s="21" t="s">
        <v>5</v>
      </c>
      <c r="C152" s="14"/>
      <c r="D152" s="17">
        <v>2</v>
      </c>
      <c r="E152" s="9">
        <f>N150</f>
        <v>138508.56</v>
      </c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63">
        <f>E152</f>
        <v>138508.56</v>
      </c>
      <c r="Q152" s="36"/>
      <c r="R152" s="9">
        <v>162244</v>
      </c>
      <c r="S152" s="9"/>
      <c r="T152" s="9">
        <v>162244</v>
      </c>
      <c r="U152" s="28" t="s">
        <v>76</v>
      </c>
    </row>
    <row r="153" spans="1:75" x14ac:dyDescent="0.25">
      <c r="A153" s="20">
        <v>53095</v>
      </c>
      <c r="B153" s="21" t="s">
        <v>5</v>
      </c>
      <c r="C153" s="14"/>
      <c r="D153" s="17">
        <v>9</v>
      </c>
      <c r="E153" s="9">
        <f>N151</f>
        <v>112294.8</v>
      </c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63">
        <f>E153</f>
        <v>112294.8</v>
      </c>
      <c r="Q153" s="36"/>
      <c r="R153" s="9">
        <v>137610</v>
      </c>
      <c r="S153" s="9"/>
      <c r="T153" s="9">
        <v>137610</v>
      </c>
      <c r="U153" s="28" t="s">
        <v>106</v>
      </c>
    </row>
    <row r="154" spans="1:75" x14ac:dyDescent="0.25">
      <c r="A154" s="20">
        <v>53095</v>
      </c>
      <c r="B154" s="21"/>
      <c r="C154" s="14"/>
      <c r="D154" s="17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36"/>
      <c r="R154" s="9"/>
      <c r="S154" s="9"/>
      <c r="T154" s="9">
        <v>138509</v>
      </c>
      <c r="U154" s="28" t="s">
        <v>129</v>
      </c>
    </row>
    <row r="155" spans="1:75" x14ac:dyDescent="0.25">
      <c r="A155" s="20">
        <v>53095</v>
      </c>
      <c r="B155" s="21"/>
      <c r="C155" s="14"/>
      <c r="D155" s="17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36"/>
      <c r="R155" s="9"/>
      <c r="S155" s="9"/>
      <c r="T155" s="9">
        <v>148500</v>
      </c>
      <c r="U155" s="28" t="s">
        <v>172</v>
      </c>
    </row>
    <row r="156" spans="1:75" x14ac:dyDescent="0.25">
      <c r="A156" s="20">
        <v>53095</v>
      </c>
      <c r="B156" s="21"/>
      <c r="C156" s="14"/>
      <c r="D156" s="17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36"/>
      <c r="R156" s="9"/>
      <c r="S156" s="9"/>
      <c r="T156" s="9">
        <v>125000</v>
      </c>
      <c r="U156" s="28" t="s">
        <v>198</v>
      </c>
    </row>
    <row r="157" spans="1:75" s="10" customFormat="1" x14ac:dyDescent="0.25">
      <c r="A157" s="23"/>
      <c r="B157" s="24"/>
      <c r="C157" s="25"/>
      <c r="D157" s="26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65"/>
      <c r="R157" s="11"/>
      <c r="S157" s="11"/>
      <c r="T157" s="11"/>
      <c r="U157" s="23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</row>
    <row r="158" spans="1:75" x14ac:dyDescent="0.25">
      <c r="A158" s="20">
        <v>54756</v>
      </c>
      <c r="B158" s="21" t="s">
        <v>77</v>
      </c>
      <c r="C158" s="14">
        <v>45031</v>
      </c>
      <c r="D158" s="17">
        <v>6</v>
      </c>
      <c r="E158" s="9">
        <v>1056020</v>
      </c>
      <c r="F158" s="9">
        <v>62937</v>
      </c>
      <c r="G158" s="9">
        <v>993083</v>
      </c>
      <c r="H158" s="9">
        <v>178755</v>
      </c>
      <c r="I158" s="9">
        <v>1171838</v>
      </c>
      <c r="J158" s="9">
        <v>9930.83</v>
      </c>
      <c r="K158" s="9">
        <v>49654.15</v>
      </c>
      <c r="L158" s="9">
        <v>49654.15</v>
      </c>
      <c r="M158" s="9">
        <v>99308.3</v>
      </c>
      <c r="N158" s="63">
        <v>178755</v>
      </c>
      <c r="O158" s="9">
        <v>0</v>
      </c>
      <c r="P158" s="9">
        <v>784536</v>
      </c>
      <c r="Q158" s="64">
        <v>54756</v>
      </c>
      <c r="R158" s="9">
        <v>500000</v>
      </c>
      <c r="S158" s="9">
        <f t="shared" ref="S158:S159" si="15">R158*1%</f>
        <v>5000</v>
      </c>
      <c r="T158" s="9">
        <v>495000</v>
      </c>
      <c r="U158" s="28" t="s">
        <v>78</v>
      </c>
    </row>
    <row r="159" spans="1:75" x14ac:dyDescent="0.25">
      <c r="A159" s="20">
        <v>54756</v>
      </c>
      <c r="B159" s="21" t="s">
        <v>112</v>
      </c>
      <c r="C159" s="14">
        <v>45183</v>
      </c>
      <c r="D159" s="17">
        <v>6</v>
      </c>
      <c r="E159" s="9">
        <v>178755</v>
      </c>
      <c r="F159" s="9"/>
      <c r="G159" s="9">
        <f>E159-F159</f>
        <v>178755</v>
      </c>
      <c r="H159" s="9"/>
      <c r="I159" s="9">
        <f>G159+H159</f>
        <v>178755</v>
      </c>
      <c r="J159" s="9"/>
      <c r="K159" s="9"/>
      <c r="L159" s="9"/>
      <c r="M159" s="9"/>
      <c r="N159" s="9"/>
      <c r="O159" s="9"/>
      <c r="P159" s="63">
        <f>ROUND(I159-SUM(J159:O159),0)</f>
        <v>178755</v>
      </c>
      <c r="Q159" s="36"/>
      <c r="R159" s="9">
        <v>100000</v>
      </c>
      <c r="S159" s="9">
        <f t="shared" si="15"/>
        <v>1000</v>
      </c>
      <c r="T159" s="9">
        <v>99000</v>
      </c>
      <c r="U159" s="28" t="s">
        <v>79</v>
      </c>
    </row>
    <row r="160" spans="1:75" x14ac:dyDescent="0.25">
      <c r="A160" s="20">
        <v>54756</v>
      </c>
      <c r="B160" s="21"/>
      <c r="C160" s="14"/>
      <c r="D160" s="17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36"/>
      <c r="R160" s="9">
        <v>190536</v>
      </c>
      <c r="S160" s="9"/>
      <c r="T160" s="9">
        <v>190536</v>
      </c>
      <c r="U160" s="28" t="s">
        <v>80</v>
      </c>
    </row>
    <row r="161" spans="1:75" x14ac:dyDescent="0.25">
      <c r="A161" s="20">
        <v>54756</v>
      </c>
      <c r="B161" s="21"/>
      <c r="C161" s="14"/>
      <c r="D161" s="17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36"/>
      <c r="R161" s="9">
        <v>177210</v>
      </c>
      <c r="S161" s="9"/>
      <c r="T161" s="9">
        <v>177210</v>
      </c>
      <c r="U161" s="28" t="s">
        <v>108</v>
      </c>
    </row>
    <row r="162" spans="1:75" x14ac:dyDescent="0.25">
      <c r="A162" s="20">
        <v>54756</v>
      </c>
      <c r="B162" s="21"/>
      <c r="C162" s="14"/>
      <c r="D162" s="17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36"/>
      <c r="R162" s="9"/>
      <c r="S162" s="9"/>
      <c r="T162" s="9">
        <v>178755</v>
      </c>
      <c r="U162" s="28" t="s">
        <v>130</v>
      </c>
    </row>
    <row r="163" spans="1:75" s="10" customFormat="1" x14ac:dyDescent="0.25">
      <c r="A163" s="23"/>
      <c r="B163" s="24"/>
      <c r="C163" s="25"/>
      <c r="D163" s="26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64">
        <f>A164</f>
        <v>55076</v>
      </c>
      <c r="R163" s="11"/>
      <c r="S163" s="11"/>
      <c r="T163" s="11"/>
      <c r="U163" s="23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</row>
    <row r="164" spans="1:75" x14ac:dyDescent="0.25">
      <c r="A164" s="20">
        <v>55076</v>
      </c>
      <c r="B164" s="21" t="s">
        <v>98</v>
      </c>
      <c r="C164" s="14">
        <v>45119</v>
      </c>
      <c r="D164" s="17">
        <v>16</v>
      </c>
      <c r="E164" s="9">
        <v>1032235.28</v>
      </c>
      <c r="F164" s="9">
        <v>67433</v>
      </c>
      <c r="G164" s="9">
        <f>E164-F164</f>
        <v>964802.28</v>
      </c>
      <c r="H164" s="9">
        <f>ROUND(G164*H6,0)</f>
        <v>173664</v>
      </c>
      <c r="I164" s="9">
        <f>G164+H164</f>
        <v>1138466.28</v>
      </c>
      <c r="J164" s="9">
        <f>ROUND(G164*$J$6,)</f>
        <v>9648</v>
      </c>
      <c r="K164" s="9">
        <f>ROUND(G164*$K$6,)</f>
        <v>48240</v>
      </c>
      <c r="L164" s="9">
        <f>G164*5%</f>
        <v>48240.114000000001</v>
      </c>
      <c r="M164" s="9">
        <f>ROUND(G164*$M$6,)</f>
        <v>96480</v>
      </c>
      <c r="N164" s="63">
        <f>H164</f>
        <v>173664</v>
      </c>
      <c r="O164" s="9">
        <v>9050</v>
      </c>
      <c r="P164" s="9">
        <f>ROUND(I164-SUM(J164:O164),0)</f>
        <v>753144</v>
      </c>
      <c r="Q164" s="36"/>
      <c r="R164" s="9">
        <v>200000</v>
      </c>
      <c r="S164" s="9">
        <f>R164*1%</f>
        <v>2000</v>
      </c>
      <c r="T164" s="9">
        <v>198000</v>
      </c>
      <c r="U164" s="28" t="s">
        <v>81</v>
      </c>
    </row>
    <row r="165" spans="1:75" x14ac:dyDescent="0.25">
      <c r="A165" s="20">
        <v>55076</v>
      </c>
      <c r="B165" s="21" t="s">
        <v>98</v>
      </c>
      <c r="C165" s="14">
        <v>45195</v>
      </c>
      <c r="D165" s="17">
        <v>31</v>
      </c>
      <c r="E165" s="9">
        <v>490282</v>
      </c>
      <c r="F165" s="9">
        <f>88800+(457*20)</f>
        <v>97940</v>
      </c>
      <c r="G165" s="9">
        <f>E165-F165</f>
        <v>392342</v>
      </c>
      <c r="H165" s="9">
        <f>G165*18%</f>
        <v>70621.56</v>
      </c>
      <c r="I165" s="9">
        <f>G165+H165</f>
        <v>462963.56</v>
      </c>
      <c r="J165" s="9">
        <f>ROUND(G165*$J$6,)</f>
        <v>3923</v>
      </c>
      <c r="K165" s="9">
        <f>ROUND(G165*$K$6,)</f>
        <v>19617</v>
      </c>
      <c r="L165" s="9">
        <f>ROUND(G165*L163,)</f>
        <v>0</v>
      </c>
      <c r="M165" s="9">
        <f>ROUND(G165*$M$6,)</f>
        <v>39234</v>
      </c>
      <c r="N165" s="63">
        <f>H165</f>
        <v>70621.56</v>
      </c>
      <c r="O165" s="9">
        <v>236583</v>
      </c>
      <c r="P165" s="9">
        <f>ROUND(I165-SUM(J165:O165),0)</f>
        <v>92985</v>
      </c>
      <c r="Q165" s="36"/>
      <c r="R165" s="9">
        <v>555144</v>
      </c>
      <c r="S165" s="9"/>
      <c r="T165" s="9">
        <v>555144</v>
      </c>
      <c r="U165" s="28" t="s">
        <v>100</v>
      </c>
    </row>
    <row r="166" spans="1:75" x14ac:dyDescent="0.25">
      <c r="A166" s="20">
        <v>55076</v>
      </c>
      <c r="B166" s="21" t="s">
        <v>98</v>
      </c>
      <c r="C166" s="14">
        <v>45195</v>
      </c>
      <c r="D166" s="17">
        <v>32</v>
      </c>
      <c r="E166" s="9">
        <v>564405</v>
      </c>
      <c r="F166" s="9">
        <v>0</v>
      </c>
      <c r="G166" s="9">
        <f>E166-F166</f>
        <v>564405</v>
      </c>
      <c r="H166" s="9">
        <f>G166*18%</f>
        <v>101592.9</v>
      </c>
      <c r="I166" s="9">
        <f>G166+H166</f>
        <v>665997.9</v>
      </c>
      <c r="J166" s="9">
        <f>ROUND(G166*$J$6,)</f>
        <v>5644</v>
      </c>
      <c r="K166" s="9">
        <f>ROUND(G166*$K$6,)</f>
        <v>28220</v>
      </c>
      <c r="L166" s="9">
        <f>ROUND(G166*L163,)</f>
        <v>0</v>
      </c>
      <c r="M166" s="9">
        <f>ROUND(G166*$M$6,)</f>
        <v>56441</v>
      </c>
      <c r="N166" s="63">
        <f>H166</f>
        <v>101592.9</v>
      </c>
      <c r="O166" s="9">
        <v>0</v>
      </c>
      <c r="P166" s="9">
        <f>ROUND(I166-SUM(J166:O166),0)</f>
        <v>474100</v>
      </c>
      <c r="Q166" s="36"/>
      <c r="R166" s="9"/>
      <c r="S166" s="9"/>
      <c r="T166" s="9">
        <v>73368</v>
      </c>
      <c r="U166" s="28" t="s">
        <v>131</v>
      </c>
    </row>
    <row r="167" spans="1:75" x14ac:dyDescent="0.25">
      <c r="A167" s="20">
        <v>55076</v>
      </c>
      <c r="B167" s="21" t="s">
        <v>5</v>
      </c>
      <c r="C167" s="14"/>
      <c r="D167" s="17" t="s">
        <v>163</v>
      </c>
      <c r="E167" s="9">
        <f>N164+N165+N166</f>
        <v>345878.45999999996</v>
      </c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63">
        <f>E167</f>
        <v>345878.45999999996</v>
      </c>
      <c r="Q167" s="36"/>
      <c r="R167" s="9"/>
      <c r="S167" s="9"/>
      <c r="T167" s="9">
        <v>445880</v>
      </c>
      <c r="U167" s="28" t="s">
        <v>132</v>
      </c>
    </row>
    <row r="168" spans="1:75" x14ac:dyDescent="0.25">
      <c r="A168" s="20">
        <v>55076</v>
      </c>
      <c r="B168" s="21"/>
      <c r="C168" s="14"/>
      <c r="D168" s="17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22"/>
      <c r="R168" s="9"/>
      <c r="S168" s="9"/>
      <c r="T168" s="33">
        <v>247500</v>
      </c>
      <c r="U168" s="28" t="s">
        <v>199</v>
      </c>
    </row>
    <row r="169" spans="1:75" x14ac:dyDescent="0.25">
      <c r="A169" s="20">
        <v>55076</v>
      </c>
      <c r="B169" s="21"/>
      <c r="C169" s="14"/>
      <c r="D169" s="17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22"/>
      <c r="R169" s="9"/>
      <c r="S169" s="9"/>
      <c r="T169" s="82">
        <v>198000</v>
      </c>
      <c r="U169" s="81" t="s">
        <v>214</v>
      </c>
    </row>
    <row r="170" spans="1:75" x14ac:dyDescent="0.25">
      <c r="A170" s="20"/>
      <c r="B170" s="21"/>
      <c r="C170" s="14"/>
      <c r="D170" s="17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22"/>
      <c r="R170" s="9"/>
      <c r="S170" s="9"/>
      <c r="T170" s="33"/>
      <c r="U170" s="28"/>
    </row>
    <row r="171" spans="1:75" s="10" customFormat="1" x14ac:dyDescent="0.25">
      <c r="A171" s="23"/>
      <c r="B171" s="24"/>
      <c r="C171" s="25"/>
      <c r="D171" s="26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29"/>
      <c r="R171" s="11"/>
      <c r="S171" s="11"/>
      <c r="T171" s="11"/>
      <c r="U171" s="23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</row>
    <row r="172" spans="1:75" ht="37.5" x14ac:dyDescent="0.25">
      <c r="A172" s="20">
        <v>55077</v>
      </c>
      <c r="B172" s="21" t="s">
        <v>272</v>
      </c>
      <c r="C172" s="14">
        <v>45024</v>
      </c>
      <c r="D172" s="17">
        <v>5</v>
      </c>
      <c r="E172" s="9">
        <v>1271518.44</v>
      </c>
      <c r="F172" s="9">
        <v>103397</v>
      </c>
      <c r="G172" s="9">
        <v>1168121.44</v>
      </c>
      <c r="H172" s="9">
        <v>210262</v>
      </c>
      <c r="I172" s="9">
        <v>1378383.44</v>
      </c>
      <c r="J172" s="9">
        <v>11681</v>
      </c>
      <c r="K172" s="9">
        <v>58406</v>
      </c>
      <c r="L172" s="9">
        <v>58406</v>
      </c>
      <c r="M172" s="9">
        <v>116812</v>
      </c>
      <c r="N172" s="63">
        <v>210262</v>
      </c>
      <c r="O172" s="9">
        <v>285060</v>
      </c>
      <c r="P172" s="9">
        <v>637756</v>
      </c>
      <c r="Q172" s="27">
        <v>55077</v>
      </c>
      <c r="R172" s="9">
        <v>300000</v>
      </c>
      <c r="S172" s="9">
        <f>R172*1%</f>
        <v>3000</v>
      </c>
      <c r="T172" s="33">
        <v>297000</v>
      </c>
      <c r="U172" s="28" t="s">
        <v>82</v>
      </c>
    </row>
    <row r="173" spans="1:75" x14ac:dyDescent="0.25">
      <c r="A173" s="20">
        <v>55077</v>
      </c>
      <c r="B173" s="21"/>
      <c r="C173" s="14"/>
      <c r="D173" s="17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22"/>
      <c r="R173" s="9">
        <v>300000</v>
      </c>
      <c r="S173" s="9">
        <f>R173*1%</f>
        <v>3000</v>
      </c>
      <c r="T173" s="33">
        <v>297000</v>
      </c>
      <c r="U173" s="28" t="s">
        <v>83</v>
      </c>
    </row>
    <row r="174" spans="1:75" x14ac:dyDescent="0.25">
      <c r="A174" s="20">
        <v>55077</v>
      </c>
      <c r="B174" s="21" t="s">
        <v>112</v>
      </c>
      <c r="C174" s="14">
        <v>45183</v>
      </c>
      <c r="D174" s="17">
        <v>5</v>
      </c>
      <c r="E174" s="9">
        <f>H172</f>
        <v>210262</v>
      </c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63">
        <f>E174</f>
        <v>210262</v>
      </c>
      <c r="Q174" s="22"/>
      <c r="R174" s="9">
        <v>43756</v>
      </c>
      <c r="S174" s="9"/>
      <c r="T174" s="33">
        <v>43756</v>
      </c>
      <c r="U174" s="28" t="s">
        <v>84</v>
      </c>
    </row>
    <row r="175" spans="1:75" x14ac:dyDescent="0.25">
      <c r="A175" s="20">
        <v>55077</v>
      </c>
      <c r="B175" s="21"/>
      <c r="C175" s="14"/>
      <c r="D175" s="17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22"/>
      <c r="R175" s="9">
        <v>250000</v>
      </c>
      <c r="S175" s="9">
        <f>R175*1%</f>
        <v>2500</v>
      </c>
      <c r="T175" s="33">
        <v>247500</v>
      </c>
      <c r="U175" s="28" t="s">
        <v>85</v>
      </c>
    </row>
    <row r="176" spans="1:75" x14ac:dyDescent="0.25">
      <c r="A176" s="20">
        <v>55077</v>
      </c>
      <c r="B176" s="21"/>
      <c r="C176" s="14"/>
      <c r="D176" s="17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22"/>
      <c r="R176" s="9">
        <v>207900</v>
      </c>
      <c r="S176" s="9"/>
      <c r="T176" s="33">
        <v>207900</v>
      </c>
      <c r="U176" s="28" t="s">
        <v>107</v>
      </c>
    </row>
    <row r="177" spans="1:75" x14ac:dyDescent="0.25">
      <c r="A177" s="20">
        <v>55077</v>
      </c>
      <c r="B177" s="21"/>
      <c r="C177" s="14"/>
      <c r="D177" s="17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22"/>
      <c r="R177" s="9"/>
      <c r="S177" s="9"/>
      <c r="T177" s="9">
        <v>210262</v>
      </c>
      <c r="U177" s="28" t="s">
        <v>133</v>
      </c>
    </row>
    <row r="178" spans="1:75" x14ac:dyDescent="0.25">
      <c r="A178" s="20"/>
      <c r="B178" s="21"/>
      <c r="C178" s="14"/>
      <c r="D178" s="17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22"/>
      <c r="R178" s="9"/>
      <c r="S178" s="9"/>
      <c r="T178" s="9"/>
      <c r="U178" s="28"/>
    </row>
    <row r="179" spans="1:75" s="10" customFormat="1" x14ac:dyDescent="0.25">
      <c r="A179" s="23"/>
      <c r="B179" s="24"/>
      <c r="C179" s="25"/>
      <c r="D179" s="26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27">
        <f>A180</f>
        <v>55078</v>
      </c>
      <c r="R179" s="11"/>
      <c r="S179" s="11"/>
      <c r="T179" s="11"/>
      <c r="U179" s="23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</row>
    <row r="180" spans="1:75" x14ac:dyDescent="0.25">
      <c r="A180" s="20">
        <v>55078</v>
      </c>
      <c r="B180" s="21" t="s">
        <v>86</v>
      </c>
      <c r="C180" s="14">
        <v>45035</v>
      </c>
      <c r="D180" s="17">
        <v>8</v>
      </c>
      <c r="E180" s="9">
        <v>2218022.48</v>
      </c>
      <c r="F180" s="9">
        <v>152847</v>
      </c>
      <c r="G180" s="9">
        <v>2065175.48</v>
      </c>
      <c r="H180" s="9">
        <v>371732</v>
      </c>
      <c r="I180" s="9">
        <v>2436907.48</v>
      </c>
      <c r="J180" s="9">
        <v>20652</v>
      </c>
      <c r="K180" s="9">
        <v>103259</v>
      </c>
      <c r="L180" s="9">
        <v>103259</v>
      </c>
      <c r="M180" s="9">
        <v>206518</v>
      </c>
      <c r="N180" s="63">
        <v>371732</v>
      </c>
      <c r="O180" s="9">
        <v>435823</v>
      </c>
      <c r="P180" s="9">
        <v>1195664</v>
      </c>
      <c r="Q180" s="22"/>
      <c r="R180" s="9"/>
      <c r="S180" s="9"/>
      <c r="T180" s="9">
        <v>297000</v>
      </c>
      <c r="U180" s="28" t="s">
        <v>88</v>
      </c>
    </row>
    <row r="181" spans="1:75" x14ac:dyDescent="0.25">
      <c r="A181" s="20">
        <v>55078</v>
      </c>
      <c r="B181" s="21" t="s">
        <v>87</v>
      </c>
      <c r="C181" s="14">
        <v>45075</v>
      </c>
      <c r="D181" s="17">
        <v>8</v>
      </c>
      <c r="E181" s="9">
        <v>350000</v>
      </c>
      <c r="F181" s="9"/>
      <c r="G181" s="9"/>
      <c r="H181" s="9"/>
      <c r="I181" s="9"/>
      <c r="J181" s="9">
        <f>E181*1%</f>
        <v>3500</v>
      </c>
      <c r="K181" s="9"/>
      <c r="L181" s="9"/>
      <c r="M181" s="9"/>
      <c r="N181" s="9"/>
      <c r="O181" s="9"/>
      <c r="P181" s="9">
        <f>E181-J181</f>
        <v>346500</v>
      </c>
      <c r="Q181" s="22"/>
      <c r="R181" s="9"/>
      <c r="S181" s="9"/>
      <c r="T181" s="9">
        <v>898665</v>
      </c>
      <c r="U181" s="28" t="s">
        <v>89</v>
      </c>
    </row>
    <row r="182" spans="1:75" x14ac:dyDescent="0.25">
      <c r="A182" s="20">
        <v>55078</v>
      </c>
      <c r="B182" s="21" t="s">
        <v>112</v>
      </c>
      <c r="C182" s="14"/>
      <c r="D182" s="17">
        <v>8</v>
      </c>
      <c r="E182" s="9">
        <f>H180</f>
        <v>371732</v>
      </c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63">
        <f>E182</f>
        <v>371732</v>
      </c>
      <c r="Q182" s="22"/>
      <c r="R182" s="9"/>
      <c r="S182" s="9"/>
      <c r="T182" s="9">
        <v>346500</v>
      </c>
      <c r="U182" s="28" t="s">
        <v>90</v>
      </c>
    </row>
    <row r="183" spans="1:75" x14ac:dyDescent="0.25">
      <c r="A183" s="20">
        <v>55078</v>
      </c>
      <c r="B183" s="21"/>
      <c r="C183" s="14"/>
      <c r="D183" s="17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22"/>
      <c r="R183" s="9"/>
      <c r="S183" s="9"/>
      <c r="T183" s="9">
        <v>247500</v>
      </c>
      <c r="U183" s="28" t="s">
        <v>200</v>
      </c>
    </row>
    <row r="184" spans="1:75" x14ac:dyDescent="0.25">
      <c r="A184" s="20">
        <v>55078</v>
      </c>
      <c r="B184" s="21"/>
      <c r="C184" s="14"/>
      <c r="D184" s="17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22"/>
      <c r="R184" s="9"/>
      <c r="S184" s="9"/>
      <c r="T184" s="80">
        <v>297000</v>
      </c>
      <c r="U184" s="81" t="s">
        <v>215</v>
      </c>
    </row>
    <row r="185" spans="1:75" x14ac:dyDescent="0.25">
      <c r="A185" s="99"/>
      <c r="B185" s="21"/>
      <c r="C185" s="14"/>
      <c r="D185" s="17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22"/>
      <c r="R185" s="9"/>
      <c r="S185" s="9"/>
      <c r="T185" s="9"/>
      <c r="U185" s="28"/>
    </row>
    <row r="186" spans="1:75" s="10" customFormat="1" x14ac:dyDescent="0.25">
      <c r="A186" s="100"/>
      <c r="B186" s="24"/>
      <c r="C186" s="25"/>
      <c r="D186" s="26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29"/>
      <c r="R186" s="11"/>
      <c r="S186" s="11"/>
      <c r="T186" s="11"/>
      <c r="U186" s="23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</row>
    <row r="187" spans="1:75" x14ac:dyDescent="0.25">
      <c r="A187" s="20">
        <v>55079</v>
      </c>
      <c r="B187" s="21" t="s">
        <v>91</v>
      </c>
      <c r="C187" s="14">
        <v>45019</v>
      </c>
      <c r="D187" s="17">
        <v>1</v>
      </c>
      <c r="E187" s="9">
        <v>1454013</v>
      </c>
      <c r="F187" s="9">
        <v>147453</v>
      </c>
      <c r="G187" s="9">
        <f>E187-F187</f>
        <v>1306560</v>
      </c>
      <c r="H187" s="9">
        <f>ROUND(G187*H6,0)</f>
        <v>235181</v>
      </c>
      <c r="I187" s="9">
        <f>G187+H187</f>
        <v>1541741</v>
      </c>
      <c r="J187" s="9">
        <f>ROUND(G187*$J$6,)</f>
        <v>13066</v>
      </c>
      <c r="K187" s="9">
        <f>ROUND(G187*$K$6,)</f>
        <v>65328</v>
      </c>
      <c r="L187" s="9">
        <f>ROUND(G187*L186,)</f>
        <v>0</v>
      </c>
      <c r="M187" s="9">
        <f>ROUND(G187*$M$6,)</f>
        <v>130656</v>
      </c>
      <c r="N187" s="63">
        <f>H187</f>
        <v>235181</v>
      </c>
      <c r="O187" s="9">
        <v>260765</v>
      </c>
      <c r="P187" s="9">
        <f>ROUND(I187-SUM(J187:O187),0)</f>
        <v>836745</v>
      </c>
      <c r="Q187" s="27">
        <v>55079</v>
      </c>
      <c r="R187" s="9">
        <v>200000</v>
      </c>
      <c r="S187" s="9">
        <f>R187*1%</f>
        <v>2000</v>
      </c>
      <c r="T187" s="9">
        <v>198000</v>
      </c>
      <c r="U187" s="28" t="s">
        <v>92</v>
      </c>
    </row>
    <row r="188" spans="1:75" x14ac:dyDescent="0.25">
      <c r="A188" s="20">
        <v>55079</v>
      </c>
      <c r="B188" s="21" t="s">
        <v>110</v>
      </c>
      <c r="C188" s="14">
        <v>45183</v>
      </c>
      <c r="D188" s="17">
        <v>1</v>
      </c>
      <c r="E188" s="9">
        <v>235180</v>
      </c>
      <c r="F188" s="9"/>
      <c r="G188" s="9">
        <f>E188-F188</f>
        <v>235180</v>
      </c>
      <c r="H188" s="9"/>
      <c r="I188" s="9">
        <f>G188+H188</f>
        <v>235180</v>
      </c>
      <c r="J188" s="9"/>
      <c r="K188" s="9"/>
      <c r="L188" s="9"/>
      <c r="M188" s="9"/>
      <c r="N188" s="9"/>
      <c r="O188" s="9"/>
      <c r="P188" s="63">
        <f>ROUND(I188-SUM(J188:O188),0)</f>
        <v>235180</v>
      </c>
      <c r="Q188" s="34"/>
      <c r="R188" s="9">
        <v>300000</v>
      </c>
      <c r="S188" s="9">
        <v>0</v>
      </c>
      <c r="T188" s="9">
        <v>300000</v>
      </c>
      <c r="U188" s="28" t="s">
        <v>93</v>
      </c>
    </row>
    <row r="189" spans="1:75" x14ac:dyDescent="0.25">
      <c r="A189" s="20">
        <v>55079</v>
      </c>
      <c r="B189" s="21" t="s">
        <v>91</v>
      </c>
      <c r="C189" s="14">
        <v>45019</v>
      </c>
      <c r="D189" s="17" t="s">
        <v>189</v>
      </c>
      <c r="E189" s="9">
        <v>615751</v>
      </c>
      <c r="F189" s="9">
        <v>4000</v>
      </c>
      <c r="G189" s="9">
        <f>E189-F189</f>
        <v>611751</v>
      </c>
      <c r="H189" s="9">
        <f>G189*18%</f>
        <v>110115.18</v>
      </c>
      <c r="I189" s="9">
        <f>G189+H189</f>
        <v>721866.17999999993</v>
      </c>
      <c r="J189" s="9">
        <f>G189*1%</f>
        <v>6117.51</v>
      </c>
      <c r="K189" s="9">
        <f>G189*5%</f>
        <v>30587.550000000003</v>
      </c>
      <c r="L189" s="9">
        <f>G189*10%</f>
        <v>61175.100000000006</v>
      </c>
      <c r="M189" s="9">
        <f>G189*10%</f>
        <v>61175.100000000006</v>
      </c>
      <c r="N189" s="63">
        <f>H189</f>
        <v>110115.18</v>
      </c>
      <c r="O189" s="9">
        <v>197611</v>
      </c>
      <c r="P189" s="9">
        <f>ROUND(I189-SUM(J189:O189),0)</f>
        <v>255085</v>
      </c>
      <c r="Q189" s="34"/>
      <c r="R189" s="9">
        <v>276417</v>
      </c>
      <c r="S189" s="9">
        <v>0</v>
      </c>
      <c r="T189" s="9">
        <v>276417</v>
      </c>
      <c r="U189" s="28" t="s">
        <v>94</v>
      </c>
    </row>
    <row r="190" spans="1:75" x14ac:dyDescent="0.25">
      <c r="A190" s="20">
        <v>55079</v>
      </c>
      <c r="B190" s="21" t="s">
        <v>91</v>
      </c>
      <c r="C190" s="14">
        <v>45019</v>
      </c>
      <c r="D190" s="17" t="s">
        <v>190</v>
      </c>
      <c r="E190" s="9">
        <v>1091772</v>
      </c>
      <c r="F190" s="9">
        <v>193896</v>
      </c>
      <c r="G190" s="9">
        <f>E190-F190</f>
        <v>897876</v>
      </c>
      <c r="H190" s="9">
        <f>G190*18%</f>
        <v>161617.68</v>
      </c>
      <c r="I190" s="9">
        <f>G190+H190</f>
        <v>1059493.68</v>
      </c>
      <c r="J190" s="9">
        <f>G190*1%</f>
        <v>8978.76</v>
      </c>
      <c r="K190" s="9">
        <f>G190*5%</f>
        <v>44893.8</v>
      </c>
      <c r="L190" s="9">
        <f>G190*10%</f>
        <v>89787.6</v>
      </c>
      <c r="M190" s="9">
        <f>G190*10%</f>
        <v>89787.6</v>
      </c>
      <c r="N190" s="63">
        <f>H190</f>
        <v>161617.68</v>
      </c>
      <c r="O190" s="9">
        <v>0</v>
      </c>
      <c r="P190" s="9">
        <f>ROUND(I190-SUM(J190:O190),0)</f>
        <v>664428</v>
      </c>
      <c r="Q190" s="34"/>
      <c r="R190" s="9">
        <v>250000</v>
      </c>
      <c r="S190" s="9">
        <f>R190*$S$6</f>
        <v>2500</v>
      </c>
      <c r="T190" s="9">
        <v>247500</v>
      </c>
      <c r="U190" s="28" t="s">
        <v>95</v>
      </c>
    </row>
    <row r="191" spans="1:75" x14ac:dyDescent="0.25">
      <c r="A191" s="20">
        <v>55079</v>
      </c>
      <c r="B191" s="21" t="s">
        <v>112</v>
      </c>
      <c r="C191" s="14"/>
      <c r="D191" s="17" t="s">
        <v>191</v>
      </c>
      <c r="E191" s="9">
        <f>N189+N190</f>
        <v>271732.86</v>
      </c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63">
        <f>E191</f>
        <v>271732.86</v>
      </c>
      <c r="Q191" s="34"/>
      <c r="R191" s="9">
        <v>232650</v>
      </c>
      <c r="S191" s="9">
        <v>0</v>
      </c>
      <c r="T191" s="9">
        <v>232650</v>
      </c>
      <c r="U191" s="28" t="s">
        <v>105</v>
      </c>
    </row>
    <row r="192" spans="1:75" x14ac:dyDescent="0.25">
      <c r="A192" s="20">
        <v>55079</v>
      </c>
      <c r="B192" s="21"/>
      <c r="C192" s="14"/>
      <c r="D192" s="17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34"/>
      <c r="R192" s="9">
        <v>300000</v>
      </c>
      <c r="S192" s="9">
        <f>R192*$S$6</f>
        <v>3000</v>
      </c>
      <c r="T192" s="9">
        <v>297000</v>
      </c>
      <c r="U192" s="28" t="s">
        <v>111</v>
      </c>
    </row>
    <row r="193" spans="1:75" x14ac:dyDescent="0.25">
      <c r="A193" s="20">
        <v>55079</v>
      </c>
      <c r="B193" s="21"/>
      <c r="C193" s="14"/>
      <c r="D193" s="17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34"/>
      <c r="R193" s="9">
        <v>235180</v>
      </c>
      <c r="S193" s="9"/>
      <c r="T193" s="9">
        <v>235180</v>
      </c>
      <c r="U193" s="28" t="s">
        <v>134</v>
      </c>
    </row>
    <row r="194" spans="1:75" x14ac:dyDescent="0.25">
      <c r="A194" s="20">
        <v>55079</v>
      </c>
      <c r="B194" s="21"/>
      <c r="C194" s="14"/>
      <c r="D194" s="17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34"/>
      <c r="R194" s="9">
        <v>500000</v>
      </c>
      <c r="S194" s="9">
        <f>R194*1%</f>
        <v>5000</v>
      </c>
      <c r="T194" s="9">
        <v>495000</v>
      </c>
      <c r="U194" s="28" t="s">
        <v>140</v>
      </c>
    </row>
    <row r="195" spans="1:75" x14ac:dyDescent="0.25">
      <c r="A195" s="20">
        <v>55079</v>
      </c>
      <c r="B195" s="21"/>
      <c r="C195" s="14"/>
      <c r="D195" s="17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34"/>
      <c r="R195" s="9">
        <v>150000</v>
      </c>
      <c r="S195" s="9">
        <f>R195*1%</f>
        <v>1500</v>
      </c>
      <c r="T195" s="9">
        <v>148500</v>
      </c>
      <c r="U195" s="28" t="s">
        <v>141</v>
      </c>
    </row>
    <row r="196" spans="1:75" x14ac:dyDescent="0.25">
      <c r="A196" s="20">
        <v>55079</v>
      </c>
      <c r="B196" s="21"/>
      <c r="C196" s="14"/>
      <c r="D196" s="17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34"/>
      <c r="R196" s="9"/>
      <c r="S196" s="9"/>
      <c r="T196" s="9">
        <v>49500</v>
      </c>
      <c r="U196" s="28" t="s">
        <v>173</v>
      </c>
    </row>
    <row r="197" spans="1:75" x14ac:dyDescent="0.25">
      <c r="A197" s="20">
        <v>55079</v>
      </c>
      <c r="B197" s="21"/>
      <c r="C197" s="14"/>
      <c r="D197" s="17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34"/>
      <c r="R197" s="9"/>
      <c r="S197" s="9"/>
      <c r="T197" s="9">
        <v>247500</v>
      </c>
      <c r="U197" s="28" t="s">
        <v>245</v>
      </c>
    </row>
    <row r="198" spans="1:75" s="10" customFormat="1" x14ac:dyDescent="0.25">
      <c r="A198" s="100"/>
      <c r="B198" s="24"/>
      <c r="C198" s="25"/>
      <c r="D198" s="26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27">
        <f>A199</f>
        <v>56882</v>
      </c>
      <c r="R198" s="11"/>
      <c r="S198" s="11"/>
      <c r="T198" s="11"/>
      <c r="U198" s="23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</row>
    <row r="199" spans="1:75" x14ac:dyDescent="0.25">
      <c r="A199" s="20">
        <v>56882</v>
      </c>
      <c r="B199" s="21" t="s">
        <v>273</v>
      </c>
      <c r="C199" s="14">
        <v>45037</v>
      </c>
      <c r="D199" s="17">
        <v>10</v>
      </c>
      <c r="E199" s="9">
        <v>587451</v>
      </c>
      <c r="F199" s="9">
        <v>35964</v>
      </c>
      <c r="G199" s="9">
        <v>551487</v>
      </c>
      <c r="H199" s="9">
        <v>99268</v>
      </c>
      <c r="I199" s="9">
        <v>650755</v>
      </c>
      <c r="J199" s="9">
        <v>5515</v>
      </c>
      <c r="K199" s="9">
        <v>27574</v>
      </c>
      <c r="L199" s="9">
        <v>27574</v>
      </c>
      <c r="M199" s="9">
        <v>55149</v>
      </c>
      <c r="N199" s="63">
        <v>99268</v>
      </c>
      <c r="O199" s="9">
        <v>61983.5</v>
      </c>
      <c r="P199" s="9">
        <v>373692</v>
      </c>
      <c r="Q199" s="22"/>
      <c r="R199" s="9"/>
      <c r="S199" s="9"/>
      <c r="T199" s="9">
        <v>373691</v>
      </c>
      <c r="U199" s="28" t="s">
        <v>96</v>
      </c>
    </row>
    <row r="200" spans="1:75" x14ac:dyDescent="0.25">
      <c r="A200" s="20">
        <v>56882</v>
      </c>
      <c r="B200" s="21" t="s">
        <v>273</v>
      </c>
      <c r="C200" s="14">
        <v>45183</v>
      </c>
      <c r="D200" s="17">
        <v>27</v>
      </c>
      <c r="E200" s="9">
        <v>663361</v>
      </c>
      <c r="F200" s="9">
        <v>35964</v>
      </c>
      <c r="G200" s="9">
        <f>E200-F200</f>
        <v>627397</v>
      </c>
      <c r="H200" s="9">
        <f>ROUND(G200*18%,0)</f>
        <v>112931</v>
      </c>
      <c r="I200" s="9">
        <f>G200+H200</f>
        <v>740328</v>
      </c>
      <c r="J200" s="9">
        <f>ROUND(G200*$J$6,)</f>
        <v>6274</v>
      </c>
      <c r="K200" s="9">
        <f>ROUND(G200*$K$6,)</f>
        <v>31370</v>
      </c>
      <c r="L200" s="9">
        <f>ROUND(G200*L6,)</f>
        <v>31370</v>
      </c>
      <c r="M200" s="9">
        <f>ROUND(G200*$M$6,)</f>
        <v>62740</v>
      </c>
      <c r="N200" s="63">
        <f>H200</f>
        <v>112931</v>
      </c>
      <c r="O200" s="9">
        <v>151088</v>
      </c>
      <c r="P200" s="9">
        <f>ROUND(I200-SUM(J200:O200),0)</f>
        <v>344555</v>
      </c>
      <c r="Q200" s="22"/>
      <c r="R200" s="9"/>
      <c r="S200" s="9"/>
      <c r="T200" s="9">
        <v>344555</v>
      </c>
      <c r="U200" s="28" t="s">
        <v>135</v>
      </c>
    </row>
    <row r="201" spans="1:75" x14ac:dyDescent="0.25">
      <c r="A201" s="20">
        <v>56882</v>
      </c>
      <c r="B201" s="21" t="s">
        <v>112</v>
      </c>
      <c r="C201" s="14"/>
      <c r="D201" s="17" t="s">
        <v>162</v>
      </c>
      <c r="E201" s="9">
        <f>N199+N200</f>
        <v>212199</v>
      </c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63">
        <f>E201</f>
        <v>212199</v>
      </c>
      <c r="Q201" s="22"/>
      <c r="R201" s="9"/>
      <c r="S201" s="9"/>
      <c r="T201" s="9">
        <v>198000</v>
      </c>
      <c r="U201" s="28" t="s">
        <v>185</v>
      </c>
    </row>
    <row r="202" spans="1:75" x14ac:dyDescent="0.25">
      <c r="A202" s="99"/>
      <c r="B202" s="21"/>
      <c r="C202" s="14"/>
      <c r="D202" s="17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22"/>
      <c r="R202" s="9"/>
      <c r="S202" s="9"/>
      <c r="T202" s="9"/>
      <c r="U202" s="28"/>
    </row>
    <row r="203" spans="1:75" x14ac:dyDescent="0.25">
      <c r="A203" s="99"/>
      <c r="B203" s="21"/>
      <c r="C203" s="14"/>
      <c r="D203" s="17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22"/>
      <c r="R203" s="9"/>
      <c r="S203" s="9"/>
      <c r="T203" s="9"/>
      <c r="U203" s="28"/>
    </row>
    <row r="204" spans="1:75" s="10" customFormat="1" x14ac:dyDescent="0.25">
      <c r="A204" s="100"/>
      <c r="B204" s="24"/>
      <c r="C204" s="25"/>
      <c r="D204" s="26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27">
        <f>A205</f>
        <v>57988</v>
      </c>
      <c r="R204" s="11"/>
      <c r="S204" s="11"/>
      <c r="T204" s="11"/>
      <c r="U204" s="23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</row>
    <row r="205" spans="1:75" ht="37.5" x14ac:dyDescent="0.25">
      <c r="A205" s="20">
        <v>57988</v>
      </c>
      <c r="B205" s="21" t="s">
        <v>274</v>
      </c>
      <c r="C205" s="14">
        <v>45103</v>
      </c>
      <c r="D205" s="17">
        <v>15</v>
      </c>
      <c r="E205" s="9">
        <v>805267.22</v>
      </c>
      <c r="F205" s="9">
        <v>109690</v>
      </c>
      <c r="G205" s="9">
        <f>E205-F205</f>
        <v>695577.22</v>
      </c>
      <c r="H205" s="9">
        <v>125204</v>
      </c>
      <c r="I205" s="9">
        <f>G205+H205</f>
        <v>820781.22</v>
      </c>
      <c r="J205" s="9">
        <f>ROUND(G205*$J$6,)</f>
        <v>6956</v>
      </c>
      <c r="K205" s="9">
        <f>ROUND(G205*$K$6,)</f>
        <v>34779</v>
      </c>
      <c r="L205" s="9">
        <v>34779</v>
      </c>
      <c r="M205" s="9">
        <f>ROUND(G205*$M$6,)</f>
        <v>69558</v>
      </c>
      <c r="N205" s="63">
        <f>H205</f>
        <v>125204</v>
      </c>
      <c r="O205" s="9">
        <v>5976</v>
      </c>
      <c r="P205" s="9">
        <f>ROUND(I205-SUM(J205:O205),0)</f>
        <v>543529</v>
      </c>
      <c r="Q205" s="22"/>
      <c r="R205" s="9"/>
      <c r="S205" s="9"/>
      <c r="T205" s="9">
        <v>297000</v>
      </c>
      <c r="U205" s="28" t="s">
        <v>97</v>
      </c>
    </row>
    <row r="206" spans="1:75" x14ac:dyDescent="0.25">
      <c r="A206" s="20">
        <v>57988</v>
      </c>
      <c r="B206" s="21" t="s">
        <v>112</v>
      </c>
      <c r="C206" s="14"/>
      <c r="D206" s="17">
        <v>15</v>
      </c>
      <c r="E206" s="9">
        <f>N205</f>
        <v>125204</v>
      </c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63">
        <f>E206</f>
        <v>125204</v>
      </c>
      <c r="Q206" s="22"/>
      <c r="R206" s="9">
        <v>246529</v>
      </c>
      <c r="S206" s="9">
        <v>0</v>
      </c>
      <c r="T206" s="9">
        <v>246529</v>
      </c>
      <c r="U206" s="28" t="s">
        <v>99</v>
      </c>
    </row>
    <row r="207" spans="1:75" x14ac:dyDescent="0.25">
      <c r="A207" s="20">
        <v>57988</v>
      </c>
      <c r="B207" s="21"/>
      <c r="C207" s="14"/>
      <c r="D207" s="17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22"/>
      <c r="R207" s="9"/>
      <c r="S207" s="9"/>
      <c r="T207" s="9">
        <v>297000</v>
      </c>
      <c r="U207" s="28" t="s">
        <v>171</v>
      </c>
    </row>
    <row r="208" spans="1:75" x14ac:dyDescent="0.25">
      <c r="A208" s="99"/>
      <c r="B208" s="21"/>
      <c r="C208" s="14"/>
      <c r="D208" s="17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22"/>
      <c r="R208" s="9"/>
      <c r="S208" s="9"/>
      <c r="T208" s="9"/>
      <c r="U208" s="28"/>
    </row>
    <row r="209" spans="1:75" s="10" customFormat="1" x14ac:dyDescent="0.25">
      <c r="A209" s="100"/>
      <c r="B209" s="24"/>
      <c r="C209" s="25"/>
      <c r="D209" s="26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27">
        <f>A210</f>
        <v>57989</v>
      </c>
      <c r="R209" s="11"/>
      <c r="S209" s="11"/>
      <c r="T209" s="11"/>
      <c r="U209" s="23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</row>
    <row r="210" spans="1:75" x14ac:dyDescent="0.25">
      <c r="A210" s="20">
        <v>57989</v>
      </c>
      <c r="B210" s="21" t="s">
        <v>275</v>
      </c>
      <c r="C210" s="14">
        <v>45146</v>
      </c>
      <c r="D210" s="17">
        <v>23</v>
      </c>
      <c r="E210" s="9">
        <v>786026.95</v>
      </c>
      <c r="F210" s="9">
        <v>80919</v>
      </c>
      <c r="G210" s="9">
        <f>E210-F210</f>
        <v>705107.95</v>
      </c>
      <c r="H210" s="9">
        <f>ROUND(G210*H6,0)</f>
        <v>126919</v>
      </c>
      <c r="I210" s="9">
        <f>G210+H210</f>
        <v>832026.95</v>
      </c>
      <c r="J210" s="9">
        <f>ROUND(G210*$J$6,)</f>
        <v>7051</v>
      </c>
      <c r="K210" s="9">
        <f>ROUND(G210*$K$6,)</f>
        <v>35255</v>
      </c>
      <c r="L210" s="9">
        <f>ROUND(G210*5%,)</f>
        <v>35255</v>
      </c>
      <c r="M210" s="9">
        <f>ROUND(G210*$M$6,)</f>
        <v>70511</v>
      </c>
      <c r="N210" s="63">
        <f>H210</f>
        <v>126919</v>
      </c>
      <c r="O210" s="9">
        <v>32434</v>
      </c>
      <c r="P210" s="9">
        <f>ROUND(I210-SUM(J210:O210),0)</f>
        <v>524602</v>
      </c>
      <c r="Q210" s="22"/>
      <c r="R210" s="9">
        <v>200000</v>
      </c>
      <c r="S210" s="9">
        <f>R210*1%</f>
        <v>2000</v>
      </c>
      <c r="T210" s="9">
        <v>198000</v>
      </c>
      <c r="U210" s="28" t="s">
        <v>4</v>
      </c>
    </row>
    <row r="211" spans="1:75" x14ac:dyDescent="0.25">
      <c r="A211" s="20">
        <v>57989</v>
      </c>
      <c r="B211" s="21" t="s">
        <v>112</v>
      </c>
      <c r="C211" s="14"/>
      <c r="D211" s="17">
        <v>23</v>
      </c>
      <c r="E211" s="9">
        <f>N210</f>
        <v>126919</v>
      </c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63">
        <f>E211</f>
        <v>126919</v>
      </c>
      <c r="Q211" s="22"/>
      <c r="R211" s="31"/>
      <c r="S211" s="31"/>
      <c r="T211" s="9">
        <v>326602</v>
      </c>
      <c r="U211" s="28" t="s">
        <v>136</v>
      </c>
    </row>
    <row r="212" spans="1:75" x14ac:dyDescent="0.25">
      <c r="A212" s="20">
        <v>57989</v>
      </c>
      <c r="B212" s="21" t="s">
        <v>276</v>
      </c>
      <c r="C212" s="14">
        <v>45455</v>
      </c>
      <c r="D212" s="17">
        <v>8</v>
      </c>
      <c r="E212" s="9">
        <v>1585406</v>
      </c>
      <c r="F212" s="9">
        <v>90378</v>
      </c>
      <c r="G212" s="9">
        <f>E212-F212</f>
        <v>1495028</v>
      </c>
      <c r="H212" s="9">
        <f>G212*18%</f>
        <v>269105.03999999998</v>
      </c>
      <c r="I212" s="9">
        <f>G212+H212</f>
        <v>1764133.04</v>
      </c>
      <c r="J212" s="9">
        <f>ROUND(G212*$J$6,)</f>
        <v>14950</v>
      </c>
      <c r="K212" s="9">
        <f>ROUND(G212*$K$6,)</f>
        <v>74751</v>
      </c>
      <c r="L212" s="9">
        <f>ROUND(G212*10%,)</f>
        <v>149503</v>
      </c>
      <c r="M212" s="9">
        <f>ROUND(G212*$M$6,)</f>
        <v>149503</v>
      </c>
      <c r="N212" s="63">
        <f>H212</f>
        <v>269105.03999999998</v>
      </c>
      <c r="O212" s="9">
        <v>300940</v>
      </c>
      <c r="P212" s="9">
        <f>ROUND(I212-SUM(J212:O212),0)</f>
        <v>805381</v>
      </c>
      <c r="Q212" s="22"/>
      <c r="R212" s="31"/>
      <c r="S212" s="31"/>
      <c r="T212" s="9">
        <v>148500</v>
      </c>
      <c r="U212" s="1" t="s">
        <v>197</v>
      </c>
    </row>
    <row r="213" spans="1:75" x14ac:dyDescent="0.25">
      <c r="A213" s="20">
        <v>57989</v>
      </c>
      <c r="B213" s="21" t="s">
        <v>112</v>
      </c>
      <c r="C213" s="14">
        <v>45456</v>
      </c>
      <c r="D213" s="17">
        <v>8</v>
      </c>
      <c r="E213" s="9">
        <f>N212</f>
        <v>269105.03999999998</v>
      </c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63">
        <f>E213</f>
        <v>269105.03999999998</v>
      </c>
      <c r="Q213" s="22"/>
      <c r="R213" s="31"/>
      <c r="S213" s="31"/>
      <c r="T213" s="9">
        <v>99000</v>
      </c>
      <c r="U213" s="28" t="s">
        <v>161</v>
      </c>
    </row>
    <row r="214" spans="1:75" x14ac:dyDescent="0.25">
      <c r="A214" s="20">
        <v>57989</v>
      </c>
      <c r="B214" s="21"/>
      <c r="C214" s="14"/>
      <c r="D214" s="17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22"/>
      <c r="R214" s="31"/>
      <c r="S214" s="31"/>
      <c r="T214" s="9">
        <v>684800</v>
      </c>
      <c r="U214" s="28" t="s">
        <v>192</v>
      </c>
    </row>
    <row r="215" spans="1:75" x14ac:dyDescent="0.25">
      <c r="A215" s="20">
        <v>57989</v>
      </c>
      <c r="B215" s="21"/>
      <c r="C215" s="14"/>
      <c r="D215" s="17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22"/>
      <c r="R215" s="31"/>
      <c r="S215" s="31"/>
      <c r="T215" s="80">
        <v>297000</v>
      </c>
      <c r="U215" s="81" t="s">
        <v>213</v>
      </c>
    </row>
    <row r="216" spans="1:75" x14ac:dyDescent="0.25">
      <c r="A216" s="100"/>
      <c r="B216" s="24"/>
      <c r="C216" s="25"/>
      <c r="D216" s="26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27">
        <f>A217</f>
        <v>57990</v>
      </c>
      <c r="R216" s="11"/>
      <c r="S216" s="11"/>
      <c r="T216" s="11"/>
      <c r="U216" s="23"/>
    </row>
    <row r="217" spans="1:75" ht="37.5" x14ac:dyDescent="0.25">
      <c r="A217" s="20">
        <v>57990</v>
      </c>
      <c r="B217" s="21" t="s">
        <v>277</v>
      </c>
      <c r="C217" s="14">
        <v>45234</v>
      </c>
      <c r="D217" s="17">
        <v>37</v>
      </c>
      <c r="E217" s="9">
        <v>987016</v>
      </c>
      <c r="F217" s="9">
        <v>41204</v>
      </c>
      <c r="G217" s="9">
        <f>E217-F217</f>
        <v>945812</v>
      </c>
      <c r="H217" s="9">
        <f>G217*18%</f>
        <v>170246.16</v>
      </c>
      <c r="I217" s="9">
        <f>G217+H217</f>
        <v>1116058.1599999999</v>
      </c>
      <c r="J217" s="9">
        <f>ROUND(G217*$J$6,)</f>
        <v>9458</v>
      </c>
      <c r="K217" s="9">
        <f>ROUND(G217*$K$6,)</f>
        <v>47291</v>
      </c>
      <c r="L217" s="9">
        <f>G217*10%</f>
        <v>94581.200000000012</v>
      </c>
      <c r="M217" s="9">
        <f>ROUND(G217*$M$6,)</f>
        <v>94581</v>
      </c>
      <c r="N217" s="63">
        <f>H217</f>
        <v>170246.16</v>
      </c>
      <c r="O217" s="9">
        <v>60124</v>
      </c>
      <c r="P217" s="9">
        <f>ROUND(I217-SUM(J217:O217),0)</f>
        <v>639777</v>
      </c>
      <c r="Q217" s="22"/>
      <c r="R217" s="9">
        <v>200000</v>
      </c>
      <c r="S217" s="9">
        <f>R217*1%</f>
        <v>2000</v>
      </c>
      <c r="T217" s="9">
        <v>396000</v>
      </c>
      <c r="U217" s="28" t="s">
        <v>177</v>
      </c>
    </row>
    <row r="218" spans="1:75" ht="37.5" x14ac:dyDescent="0.25">
      <c r="A218" s="20">
        <v>57990</v>
      </c>
      <c r="B218" s="21" t="s">
        <v>277</v>
      </c>
      <c r="C218" s="14">
        <v>45455</v>
      </c>
      <c r="D218" s="17">
        <v>6</v>
      </c>
      <c r="E218" s="9">
        <v>532227</v>
      </c>
      <c r="F218" s="9">
        <v>0</v>
      </c>
      <c r="G218" s="9">
        <f>E218-F218</f>
        <v>532227</v>
      </c>
      <c r="H218" s="9">
        <f>G218*18%</f>
        <v>95800.86</v>
      </c>
      <c r="I218" s="9">
        <f>G218+H218</f>
        <v>628027.86</v>
      </c>
      <c r="J218" s="9">
        <f>ROUND(G218*$J$6,)</f>
        <v>5322</v>
      </c>
      <c r="K218" s="9">
        <f>ROUND(G218*$K$6,)</f>
        <v>26611</v>
      </c>
      <c r="L218" s="9">
        <f>G218*10%</f>
        <v>53222.700000000004</v>
      </c>
      <c r="M218" s="9">
        <f>ROUND(G218*$M$6,)</f>
        <v>53223</v>
      </c>
      <c r="N218" s="63">
        <f>H218</f>
        <v>95800.86</v>
      </c>
      <c r="O218" s="9">
        <v>0</v>
      </c>
      <c r="P218" s="9">
        <f>ROUND(I218-SUM(J218:O218),0)</f>
        <v>393848</v>
      </c>
      <c r="Q218" s="22"/>
      <c r="R218" s="31"/>
      <c r="S218" s="31"/>
      <c r="T218" s="9">
        <v>49500</v>
      </c>
      <c r="U218" s="28" t="s">
        <v>178</v>
      </c>
    </row>
    <row r="219" spans="1:75" x14ac:dyDescent="0.25">
      <c r="A219" s="20">
        <v>57990</v>
      </c>
      <c r="B219" s="21" t="s">
        <v>112</v>
      </c>
      <c r="C219" s="14"/>
      <c r="D219" s="17">
        <v>37</v>
      </c>
      <c r="E219" s="9">
        <f>N217</f>
        <v>170246.16</v>
      </c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63">
        <f>E219</f>
        <v>170246.16</v>
      </c>
      <c r="Q219" s="22"/>
      <c r="R219" s="31"/>
      <c r="S219" s="31"/>
      <c r="T219" s="9">
        <v>194277</v>
      </c>
      <c r="U219" s="28" t="s">
        <v>179</v>
      </c>
    </row>
    <row r="220" spans="1:75" x14ac:dyDescent="0.25">
      <c r="A220" s="20">
        <v>57990</v>
      </c>
      <c r="B220" s="21" t="s">
        <v>112</v>
      </c>
      <c r="C220" s="14">
        <v>45455</v>
      </c>
      <c r="D220" s="17">
        <v>6</v>
      </c>
      <c r="E220" s="9">
        <f>N218</f>
        <v>95800.86</v>
      </c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63">
        <f>E220</f>
        <v>95800.86</v>
      </c>
      <c r="Q220" s="22"/>
      <c r="R220" s="31"/>
      <c r="S220" s="31"/>
      <c r="T220" s="9">
        <v>396000</v>
      </c>
      <c r="U220" s="28" t="s">
        <v>180</v>
      </c>
    </row>
    <row r="221" spans="1:75" x14ac:dyDescent="0.25">
      <c r="A221" s="20">
        <v>57990</v>
      </c>
      <c r="B221" s="21"/>
      <c r="C221" s="14"/>
      <c r="D221" s="17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22"/>
      <c r="R221" s="31"/>
      <c r="S221" s="31"/>
      <c r="T221" s="9">
        <v>125000</v>
      </c>
      <c r="U221" s="28" t="s">
        <v>196</v>
      </c>
    </row>
    <row r="222" spans="1:75" x14ac:dyDescent="0.25">
      <c r="A222" s="20">
        <v>57990</v>
      </c>
      <c r="B222" s="21"/>
      <c r="C222" s="14"/>
      <c r="D222" s="17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22"/>
      <c r="R222" s="31"/>
      <c r="S222" s="31"/>
      <c r="T222" s="80">
        <v>99000</v>
      </c>
      <c r="U222" s="81" t="s">
        <v>210</v>
      </c>
    </row>
    <row r="223" spans="1:75" x14ac:dyDescent="0.25">
      <c r="A223" s="100"/>
      <c r="B223" s="24"/>
      <c r="C223" s="25"/>
      <c r="D223" s="26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27">
        <f>A224</f>
        <v>57992</v>
      </c>
      <c r="R223" s="11"/>
      <c r="S223" s="11"/>
      <c r="T223" s="11"/>
      <c r="U223" s="23"/>
    </row>
    <row r="224" spans="1:75" s="10" customFormat="1" x14ac:dyDescent="0.25">
      <c r="A224" s="20">
        <v>57992</v>
      </c>
      <c r="B224" s="21" t="s">
        <v>278</v>
      </c>
      <c r="C224" s="14">
        <v>45234</v>
      </c>
      <c r="D224" s="17">
        <v>38</v>
      </c>
      <c r="E224" s="9">
        <v>1554084</v>
      </c>
      <c r="F224" s="9">
        <v>71928</v>
      </c>
      <c r="G224" s="9">
        <f>E224-F224</f>
        <v>1482156</v>
      </c>
      <c r="H224" s="9">
        <f>G224*18%</f>
        <v>266788.08</v>
      </c>
      <c r="I224" s="9">
        <f>G224+H224</f>
        <v>1748944.08</v>
      </c>
      <c r="J224" s="9">
        <f>ROUND(G224*$J$6,)</f>
        <v>14822</v>
      </c>
      <c r="K224" s="9">
        <f>ROUND(G224*$K$6,)</f>
        <v>74108</v>
      </c>
      <c r="L224" s="9">
        <f>G224*10%</f>
        <v>148215.6</v>
      </c>
      <c r="M224" s="9">
        <f>ROUND(G224*$M$6,)</f>
        <v>148216</v>
      </c>
      <c r="N224" s="63">
        <f>H224</f>
        <v>266788.08</v>
      </c>
      <c r="O224" s="9">
        <v>150286</v>
      </c>
      <c r="P224" s="9">
        <f>ROUND(I224-SUM(J224:O224),0)</f>
        <v>946508</v>
      </c>
      <c r="Q224" s="22"/>
      <c r="R224" s="9">
        <v>200000</v>
      </c>
      <c r="S224" s="9">
        <f>R224*1%</f>
        <v>2000</v>
      </c>
      <c r="T224" s="9">
        <v>495000</v>
      </c>
      <c r="U224" s="28" t="s">
        <v>144</v>
      </c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</row>
    <row r="225" spans="1:75" x14ac:dyDescent="0.25">
      <c r="A225" s="20">
        <v>57992</v>
      </c>
      <c r="B225" s="21" t="s">
        <v>278</v>
      </c>
      <c r="C225" s="14">
        <v>45455</v>
      </c>
      <c r="D225" s="17">
        <v>3</v>
      </c>
      <c r="E225" s="9">
        <v>311476</v>
      </c>
      <c r="F225" s="9">
        <v>0</v>
      </c>
      <c r="G225" s="9">
        <f>E225-F225</f>
        <v>311476</v>
      </c>
      <c r="H225" s="9">
        <f>G225*18%</f>
        <v>56065.68</v>
      </c>
      <c r="I225" s="9">
        <f>G225+H225</f>
        <v>367541.68</v>
      </c>
      <c r="J225" s="9">
        <f>ROUND(G225*$J$6,)</f>
        <v>3115</v>
      </c>
      <c r="K225" s="9">
        <f>ROUND(G225*$K$6,)</f>
        <v>15574</v>
      </c>
      <c r="L225" s="9">
        <f>G225*10%</f>
        <v>31147.600000000002</v>
      </c>
      <c r="M225" s="9">
        <f>ROUND(G225*$M$6,)</f>
        <v>31148</v>
      </c>
      <c r="N225" s="63">
        <f>H225</f>
        <v>56065.68</v>
      </c>
      <c r="O225" s="9">
        <v>184923</v>
      </c>
      <c r="P225" s="9">
        <f>ROUND(I225-SUM(J225:O225),0)</f>
        <v>45568</v>
      </c>
      <c r="Q225" s="22"/>
      <c r="R225" s="31"/>
      <c r="S225" s="31"/>
      <c r="T225" s="9">
        <v>99000</v>
      </c>
      <c r="U225" s="28" t="s">
        <v>143</v>
      </c>
    </row>
    <row r="226" spans="1:75" x14ac:dyDescent="0.25">
      <c r="A226" s="20">
        <v>57992</v>
      </c>
      <c r="B226" s="21" t="s">
        <v>112</v>
      </c>
      <c r="C226" s="14"/>
      <c r="D226" s="17">
        <v>38</v>
      </c>
      <c r="E226" s="9">
        <f>N224</f>
        <v>266788.08</v>
      </c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63">
        <f>E226</f>
        <v>266788.08</v>
      </c>
      <c r="Q226" s="22"/>
      <c r="R226" s="31"/>
      <c r="S226" s="31"/>
      <c r="T226" s="9">
        <v>422809</v>
      </c>
      <c r="U226" s="28" t="s">
        <v>142</v>
      </c>
    </row>
    <row r="227" spans="1:75" x14ac:dyDescent="0.25">
      <c r="A227" s="20">
        <v>57992</v>
      </c>
      <c r="B227" s="21" t="s">
        <v>112</v>
      </c>
      <c r="C227" s="14">
        <v>45455</v>
      </c>
      <c r="D227" s="17">
        <v>3</v>
      </c>
      <c r="E227" s="9">
        <f>N225</f>
        <v>56065.68</v>
      </c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63">
        <f>E227</f>
        <v>56065.68</v>
      </c>
      <c r="Q227" s="22"/>
      <c r="R227" s="31"/>
      <c r="S227" s="31"/>
      <c r="T227" s="9">
        <v>247500</v>
      </c>
      <c r="U227" s="28" t="s">
        <v>146</v>
      </c>
    </row>
    <row r="228" spans="1:75" x14ac:dyDescent="0.25">
      <c r="A228" s="20">
        <v>57992</v>
      </c>
      <c r="B228" s="21"/>
      <c r="C228" s="14"/>
      <c r="D228" s="17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22"/>
      <c r="R228" s="31"/>
      <c r="S228" s="31"/>
      <c r="T228" s="80">
        <v>198000</v>
      </c>
      <c r="U228" s="28" t="s">
        <v>222</v>
      </c>
    </row>
    <row r="229" spans="1:75" x14ac:dyDescent="0.25">
      <c r="A229" s="20">
        <v>57992</v>
      </c>
      <c r="B229" s="21"/>
      <c r="C229" s="14"/>
      <c r="D229" s="17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22"/>
      <c r="R229" s="31"/>
      <c r="S229" s="31"/>
      <c r="T229" s="80">
        <v>247500</v>
      </c>
      <c r="U229" s="28" t="s">
        <v>244</v>
      </c>
    </row>
    <row r="230" spans="1:75" s="10" customFormat="1" x14ac:dyDescent="0.25">
      <c r="A230" s="100"/>
      <c r="B230" s="24"/>
      <c r="C230" s="25"/>
      <c r="D230" s="26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27">
        <f>A231</f>
        <v>59151</v>
      </c>
      <c r="R230" s="11"/>
      <c r="S230" s="11"/>
      <c r="T230" s="11"/>
      <c r="U230" s="23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</row>
    <row r="231" spans="1:75" ht="37.5" x14ac:dyDescent="0.25">
      <c r="A231" s="20">
        <v>59151</v>
      </c>
      <c r="B231" s="21" t="s">
        <v>279</v>
      </c>
      <c r="C231" s="14">
        <v>45183</v>
      </c>
      <c r="D231" s="17">
        <v>28</v>
      </c>
      <c r="E231" s="9">
        <v>806669</v>
      </c>
      <c r="F231" s="9">
        <v>53946</v>
      </c>
      <c r="G231" s="9">
        <f>E231-F231</f>
        <v>752723</v>
      </c>
      <c r="H231" s="9">
        <f>ROUND(G231*18%,0)</f>
        <v>135490</v>
      </c>
      <c r="I231" s="9">
        <f>G231+H231</f>
        <v>888213</v>
      </c>
      <c r="J231" s="9">
        <f>ROUND(G231*$J$6,)</f>
        <v>7527</v>
      </c>
      <c r="K231" s="9">
        <f>ROUND(G231*$K$6,)</f>
        <v>37636</v>
      </c>
      <c r="L231" s="9">
        <f>G231*5%</f>
        <v>37636.15</v>
      </c>
      <c r="M231" s="9">
        <f>ROUND(G231*$M$6,)</f>
        <v>75272</v>
      </c>
      <c r="N231" s="63">
        <f>H231</f>
        <v>135490</v>
      </c>
      <c r="O231" s="9">
        <v>151890</v>
      </c>
      <c r="P231" s="9">
        <f>ROUND(I231-SUM(J231:O231),0)</f>
        <v>442762</v>
      </c>
      <c r="Q231" s="22"/>
      <c r="R231" s="9">
        <v>442762</v>
      </c>
      <c r="S231" s="9">
        <v>0</v>
      </c>
      <c r="T231" s="9">
        <v>442762</v>
      </c>
      <c r="U231" s="28" t="s">
        <v>137</v>
      </c>
    </row>
    <row r="232" spans="1:75" ht="37.5" x14ac:dyDescent="0.25">
      <c r="A232" s="20">
        <v>59151</v>
      </c>
      <c r="B232" s="21" t="s">
        <v>279</v>
      </c>
      <c r="C232" s="14">
        <v>45325</v>
      </c>
      <c r="D232" s="17">
        <v>48</v>
      </c>
      <c r="E232" s="9">
        <v>482773</v>
      </c>
      <c r="F232" s="9">
        <v>316355</v>
      </c>
      <c r="G232" s="9">
        <f>E232-F232</f>
        <v>166418</v>
      </c>
      <c r="H232" s="9">
        <f>ROUND(G232*18%,0)</f>
        <v>29955</v>
      </c>
      <c r="I232" s="9">
        <f>G232+H232</f>
        <v>196373</v>
      </c>
      <c r="J232" s="9">
        <f>ROUND(G232*$J$6,)</f>
        <v>1664</v>
      </c>
      <c r="K232" s="9">
        <f>ROUND(G232*$K$6,)</f>
        <v>8321</v>
      </c>
      <c r="L232" s="9">
        <f>G232*10%</f>
        <v>16641.8</v>
      </c>
      <c r="M232" s="9">
        <f>G232*10%</f>
        <v>16641.8</v>
      </c>
      <c r="N232" s="63">
        <f>H232</f>
        <v>29955</v>
      </c>
      <c r="O232" s="9">
        <v>0</v>
      </c>
      <c r="P232" s="9">
        <f>ROUND(I232-SUM(J232:O232),0)</f>
        <v>123149</v>
      </c>
      <c r="Q232" s="22"/>
      <c r="R232" s="9">
        <v>150000</v>
      </c>
      <c r="S232" s="9">
        <f>R232*1%</f>
        <v>1500</v>
      </c>
      <c r="T232" s="9">
        <v>148500</v>
      </c>
      <c r="U232" s="28" t="s">
        <v>145</v>
      </c>
    </row>
    <row r="233" spans="1:75" x14ac:dyDescent="0.25">
      <c r="A233" s="20">
        <v>59151</v>
      </c>
      <c r="B233" s="21" t="s">
        <v>112</v>
      </c>
      <c r="C233" s="14"/>
      <c r="D233" s="17">
        <v>28</v>
      </c>
      <c r="E233" s="9">
        <f>N231</f>
        <v>135490</v>
      </c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63">
        <f>E233</f>
        <v>135490</v>
      </c>
      <c r="Q233" s="22"/>
      <c r="R233" s="9"/>
      <c r="S233" s="9"/>
      <c r="T233" s="9">
        <v>198000</v>
      </c>
      <c r="U233" s="28" t="s">
        <v>160</v>
      </c>
    </row>
    <row r="234" spans="1:75" x14ac:dyDescent="0.25">
      <c r="A234" s="20">
        <v>59151</v>
      </c>
      <c r="B234" s="21" t="s">
        <v>112</v>
      </c>
      <c r="C234" s="14"/>
      <c r="D234" s="17">
        <v>48</v>
      </c>
      <c r="E234" s="9">
        <f>N232</f>
        <v>29955</v>
      </c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63">
        <f>E234</f>
        <v>29955</v>
      </c>
      <c r="Q234" s="22"/>
      <c r="R234" s="9"/>
      <c r="S234" s="9"/>
      <c r="T234" s="9">
        <v>99000</v>
      </c>
      <c r="U234" s="28" t="s">
        <v>174</v>
      </c>
    </row>
    <row r="235" spans="1:75" x14ac:dyDescent="0.25">
      <c r="A235" s="99"/>
      <c r="B235" s="21"/>
      <c r="C235" s="14"/>
      <c r="D235" s="17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22"/>
      <c r="R235" s="9"/>
      <c r="S235" s="9"/>
      <c r="T235" s="9"/>
      <c r="U235" s="28"/>
    </row>
    <row r="236" spans="1:75" x14ac:dyDescent="0.25">
      <c r="A236" s="100"/>
      <c r="B236" s="24"/>
      <c r="C236" s="25"/>
      <c r="D236" s="26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27">
        <f>A237</f>
        <v>59152</v>
      </c>
      <c r="R236" s="35"/>
      <c r="S236" s="35"/>
      <c r="T236" s="11"/>
      <c r="U236" s="23"/>
    </row>
    <row r="237" spans="1:75" ht="37.5" x14ac:dyDescent="0.25">
      <c r="A237" s="20">
        <v>59152</v>
      </c>
      <c r="B237" s="21" t="s">
        <v>280</v>
      </c>
      <c r="C237" s="14">
        <v>45190</v>
      </c>
      <c r="D237" s="17">
        <v>30</v>
      </c>
      <c r="E237" s="9">
        <v>636182</v>
      </c>
      <c r="F237" s="9">
        <f>35964+(560*20)</f>
        <v>47164</v>
      </c>
      <c r="G237" s="9">
        <f>E237-F237</f>
        <v>589018</v>
      </c>
      <c r="H237" s="9">
        <f>ROUND(G237*18%,0)</f>
        <v>106023</v>
      </c>
      <c r="I237" s="9">
        <f>G237+H237</f>
        <v>695041</v>
      </c>
      <c r="J237" s="9">
        <f>ROUND(G237*$J$6,)</f>
        <v>5890</v>
      </c>
      <c r="K237" s="9">
        <f>ROUND(G237*$K$6,)</f>
        <v>29451</v>
      </c>
      <c r="L237" s="9">
        <f>G237*5%</f>
        <v>29450.9</v>
      </c>
      <c r="M237" s="9">
        <f>ROUND(G237*$M$6,)</f>
        <v>58902</v>
      </c>
      <c r="N237" s="63">
        <f>H237</f>
        <v>106023</v>
      </c>
      <c r="O237" s="9">
        <v>144267</v>
      </c>
      <c r="P237" s="9">
        <f>ROUND(I237-SUM(J237:O237),0)</f>
        <v>321057</v>
      </c>
      <c r="Q237" s="34"/>
      <c r="R237" s="9">
        <v>321057</v>
      </c>
      <c r="S237" s="9">
        <v>0</v>
      </c>
      <c r="T237" s="9">
        <v>321057</v>
      </c>
      <c r="U237" s="28" t="s">
        <v>138</v>
      </c>
    </row>
    <row r="238" spans="1:75" x14ac:dyDescent="0.25">
      <c r="A238" s="20">
        <v>59152</v>
      </c>
      <c r="B238" s="21" t="s">
        <v>112</v>
      </c>
      <c r="C238" s="14"/>
      <c r="D238" s="17">
        <v>30</v>
      </c>
      <c r="E238" s="9">
        <f>N237</f>
        <v>106023</v>
      </c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63">
        <f>E238</f>
        <v>106023</v>
      </c>
      <c r="Q238" s="34"/>
      <c r="R238" s="9"/>
      <c r="S238" s="9"/>
      <c r="T238" s="9">
        <v>198000</v>
      </c>
      <c r="U238" s="28" t="s">
        <v>159</v>
      </c>
    </row>
    <row r="239" spans="1:75" x14ac:dyDescent="0.25">
      <c r="A239" s="20">
        <v>59152</v>
      </c>
      <c r="B239" s="21"/>
      <c r="C239" s="14"/>
      <c r="D239" s="17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34"/>
      <c r="R239" s="9"/>
      <c r="S239" s="9"/>
      <c r="T239" s="9">
        <v>99000</v>
      </c>
      <c r="U239" s="28" t="s">
        <v>175</v>
      </c>
    </row>
    <row r="240" spans="1:75" x14ac:dyDescent="0.25">
      <c r="A240" s="20">
        <v>59152</v>
      </c>
      <c r="B240" s="21"/>
      <c r="C240" s="14"/>
      <c r="D240" s="17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34"/>
      <c r="R240" s="9"/>
      <c r="S240" s="9"/>
      <c r="T240" s="9">
        <v>99000</v>
      </c>
      <c r="U240" s="28" t="s">
        <v>184</v>
      </c>
    </row>
    <row r="241" spans="1:21" x14ac:dyDescent="0.25">
      <c r="A241" s="100"/>
      <c r="B241" s="24"/>
      <c r="C241" s="25"/>
      <c r="D241" s="26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27">
        <f>A242</f>
        <v>62118</v>
      </c>
      <c r="R241" s="35"/>
      <c r="S241" s="35"/>
      <c r="T241" s="11"/>
      <c r="U241" s="23"/>
    </row>
    <row r="242" spans="1:21" ht="37.5" x14ac:dyDescent="0.25">
      <c r="A242" s="20">
        <v>62118</v>
      </c>
      <c r="B242" s="21" t="s">
        <v>281</v>
      </c>
      <c r="C242" s="14">
        <v>45338</v>
      </c>
      <c r="D242" s="17">
        <v>51</v>
      </c>
      <c r="E242" s="9">
        <v>179140</v>
      </c>
      <c r="F242" s="9">
        <v>0</v>
      </c>
      <c r="G242" s="9">
        <f>E242-F242</f>
        <v>179140</v>
      </c>
      <c r="H242" s="9">
        <f>ROUND(G242*18%,0)</f>
        <v>32245</v>
      </c>
      <c r="I242" s="9">
        <f>G242+H242</f>
        <v>211385</v>
      </c>
      <c r="J242" s="9">
        <f>ROUND(G242*$J$6,)</f>
        <v>1791</v>
      </c>
      <c r="K242" s="9">
        <f>ROUND(G242*$K$6,)</f>
        <v>8957</v>
      </c>
      <c r="L242" s="9">
        <f>G242*10%</f>
        <v>17914</v>
      </c>
      <c r="M242" s="9">
        <f>ROUND(G242*$M$6,)</f>
        <v>17914</v>
      </c>
      <c r="N242" s="63">
        <f>H242</f>
        <v>32245</v>
      </c>
      <c r="O242" s="9">
        <v>9430</v>
      </c>
      <c r="P242" s="9">
        <f>ROUND(I242-SUM(J242:O242),0)</f>
        <v>123134</v>
      </c>
      <c r="Q242" s="34"/>
      <c r="R242" s="9">
        <v>150000</v>
      </c>
      <c r="S242" s="9">
        <f>R242*1%</f>
        <v>1500</v>
      </c>
      <c r="T242" s="9">
        <v>148500</v>
      </c>
      <c r="U242" s="28" t="s">
        <v>149</v>
      </c>
    </row>
    <row r="243" spans="1:21" x14ac:dyDescent="0.25">
      <c r="A243" s="20">
        <v>62118</v>
      </c>
      <c r="B243" s="21" t="s">
        <v>112</v>
      </c>
      <c r="C243" s="14"/>
      <c r="D243" s="17">
        <v>51</v>
      </c>
      <c r="E243" s="9">
        <f>N242</f>
        <v>32245</v>
      </c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63">
        <f>E243</f>
        <v>32245</v>
      </c>
      <c r="Q243" s="34"/>
      <c r="R243" s="9"/>
      <c r="S243" s="9"/>
      <c r="T243" s="9">
        <v>198000</v>
      </c>
      <c r="U243" s="28" t="s">
        <v>158</v>
      </c>
    </row>
    <row r="244" spans="1:21" ht="37.5" x14ac:dyDescent="0.25">
      <c r="A244" s="20">
        <v>62118</v>
      </c>
      <c r="B244" s="21" t="s">
        <v>281</v>
      </c>
      <c r="C244" s="14">
        <v>45623</v>
      </c>
      <c r="D244" s="17">
        <v>18</v>
      </c>
      <c r="E244" s="9">
        <v>270952.5</v>
      </c>
      <c r="F244" s="9">
        <v>234592</v>
      </c>
      <c r="G244" s="9">
        <f>E244-F244</f>
        <v>36360.5</v>
      </c>
      <c r="H244" s="9">
        <f>ROUND(G244*18%,0)</f>
        <v>6545</v>
      </c>
      <c r="I244" s="9">
        <f>G244+H244</f>
        <v>42905.5</v>
      </c>
      <c r="J244" s="9">
        <f>ROUND(G244*$J$6,)</f>
        <v>364</v>
      </c>
      <c r="K244" s="9">
        <f>ROUND(G244*$K$6,)</f>
        <v>1818</v>
      </c>
      <c r="L244" s="9">
        <v>0</v>
      </c>
      <c r="M244" s="9">
        <v>0</v>
      </c>
      <c r="N244" s="63">
        <f>H244</f>
        <v>6545</v>
      </c>
      <c r="O244" s="9">
        <v>0</v>
      </c>
      <c r="P244" s="9">
        <f>ROUND(I244-SUM(J244:O244),0)</f>
        <v>34179</v>
      </c>
      <c r="Q244" s="98"/>
      <c r="R244" s="9"/>
      <c r="S244" s="9"/>
      <c r="T244" s="9">
        <v>99000</v>
      </c>
      <c r="U244" s="28" t="s">
        <v>176</v>
      </c>
    </row>
    <row r="245" spans="1:21" x14ac:dyDescent="0.25">
      <c r="A245" s="20">
        <v>62118</v>
      </c>
      <c r="B245" s="21" t="s">
        <v>112</v>
      </c>
      <c r="C245" s="14"/>
      <c r="D245" s="17">
        <v>18</v>
      </c>
      <c r="E245" s="9">
        <f>N244</f>
        <v>6545</v>
      </c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63">
        <f>E245</f>
        <v>6545</v>
      </c>
      <c r="Q245" s="34"/>
      <c r="R245" s="9"/>
      <c r="S245" s="9"/>
      <c r="T245" s="9">
        <v>99000</v>
      </c>
      <c r="U245" s="28" t="s">
        <v>183</v>
      </c>
    </row>
    <row r="246" spans="1:21" x14ac:dyDescent="0.25">
      <c r="A246" s="23">
        <v>62211</v>
      </c>
      <c r="B246" s="24"/>
      <c r="C246" s="25"/>
      <c r="D246" s="26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27">
        <v>62211</v>
      </c>
      <c r="R246" s="35"/>
      <c r="S246" s="35"/>
      <c r="T246" s="11"/>
      <c r="U246" s="23"/>
    </row>
    <row r="247" spans="1:21" ht="37.5" x14ac:dyDescent="0.25">
      <c r="A247" s="23">
        <v>62211</v>
      </c>
      <c r="B247" s="21" t="s">
        <v>282</v>
      </c>
      <c r="C247" s="14">
        <v>45455</v>
      </c>
      <c r="D247" s="17">
        <v>4</v>
      </c>
      <c r="E247" s="9">
        <v>3467713</v>
      </c>
      <c r="F247" s="9">
        <v>6960</v>
      </c>
      <c r="G247" s="9">
        <f>E247-F247</f>
        <v>3460753</v>
      </c>
      <c r="H247" s="9">
        <f>ROUND(G247*18%,0)</f>
        <v>622936</v>
      </c>
      <c r="I247" s="9">
        <f>G247+H247</f>
        <v>4083689</v>
      </c>
      <c r="J247" s="9">
        <f>ROUND(G247*$J$6,)</f>
        <v>34608</v>
      </c>
      <c r="K247" s="9">
        <f>ROUND(G247*$K$6,)</f>
        <v>173038</v>
      </c>
      <c r="L247" s="9">
        <f>G247*10%</f>
        <v>346075.30000000005</v>
      </c>
      <c r="M247" s="9">
        <f>ROUND(G247*$M$6,)</f>
        <v>346075</v>
      </c>
      <c r="N247" s="63">
        <f>H247</f>
        <v>622936</v>
      </c>
      <c r="O247" s="9">
        <v>40499</v>
      </c>
      <c r="P247" s="9">
        <f>ROUND(I247-SUM(J247:O247),0)</f>
        <v>2520458</v>
      </c>
      <c r="Q247" s="34"/>
      <c r="R247" s="9"/>
      <c r="S247" s="9"/>
      <c r="T247" s="9">
        <v>297000</v>
      </c>
      <c r="U247" s="28" t="s">
        <v>153</v>
      </c>
    </row>
    <row r="248" spans="1:21" x14ac:dyDescent="0.25">
      <c r="A248" s="23">
        <v>62211</v>
      </c>
      <c r="B248" s="21" t="s">
        <v>112</v>
      </c>
      <c r="C248" s="14"/>
      <c r="D248" s="17">
        <v>4</v>
      </c>
      <c r="E248" s="9">
        <f>N247</f>
        <v>622936</v>
      </c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63">
        <f>E248</f>
        <v>622936</v>
      </c>
      <c r="Q248" s="34"/>
      <c r="R248" s="9"/>
      <c r="S248" s="9"/>
      <c r="T248" s="9">
        <v>247500</v>
      </c>
      <c r="U248" s="28" t="s">
        <v>154</v>
      </c>
    </row>
    <row r="249" spans="1:21" x14ac:dyDescent="0.25">
      <c r="A249" s="23">
        <v>62211</v>
      </c>
      <c r="B249" s="21"/>
      <c r="C249" s="14"/>
      <c r="D249" s="17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34"/>
      <c r="R249" s="9"/>
      <c r="S249" s="9"/>
      <c r="T249" s="9">
        <v>1000000</v>
      </c>
      <c r="U249" s="28" t="s">
        <v>182</v>
      </c>
    </row>
    <row r="250" spans="1:21" x14ac:dyDescent="0.25">
      <c r="A250" s="23">
        <v>62211</v>
      </c>
      <c r="B250" s="21"/>
      <c r="C250" s="14"/>
      <c r="D250" s="17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34"/>
      <c r="R250" s="9"/>
      <c r="S250" s="9"/>
      <c r="T250" s="9">
        <v>975958</v>
      </c>
      <c r="U250" s="28" t="s">
        <v>195</v>
      </c>
    </row>
    <row r="251" spans="1:21" x14ac:dyDescent="0.25">
      <c r="A251" s="23">
        <v>62211</v>
      </c>
      <c r="B251" s="21"/>
      <c r="C251" s="14"/>
      <c r="D251" s="17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34"/>
      <c r="R251" s="9"/>
      <c r="S251" s="9"/>
      <c r="T251" s="80">
        <v>400000</v>
      </c>
      <c r="U251" s="81" t="s">
        <v>220</v>
      </c>
    </row>
    <row r="252" spans="1:21" x14ac:dyDescent="0.25">
      <c r="A252" s="23">
        <v>62211</v>
      </c>
      <c r="B252" s="21"/>
      <c r="C252" s="14"/>
      <c r="D252" s="17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34"/>
      <c r="R252" s="9"/>
      <c r="S252" s="9"/>
      <c r="T252" s="80">
        <v>247500</v>
      </c>
      <c r="U252" s="81" t="s">
        <v>231</v>
      </c>
    </row>
    <row r="253" spans="1:21" x14ac:dyDescent="0.25">
      <c r="A253" s="23">
        <v>62210</v>
      </c>
      <c r="B253" s="24"/>
      <c r="C253" s="25"/>
      <c r="D253" s="26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27">
        <v>62210</v>
      </c>
      <c r="R253" s="35"/>
      <c r="S253" s="35"/>
      <c r="T253" s="11"/>
      <c r="U253" s="23"/>
    </row>
    <row r="254" spans="1:21" ht="37.5" x14ac:dyDescent="0.25">
      <c r="A254" s="23">
        <v>62210</v>
      </c>
      <c r="B254" s="21" t="s">
        <v>282</v>
      </c>
      <c r="C254" s="14">
        <v>45455</v>
      </c>
      <c r="D254" s="17">
        <v>7</v>
      </c>
      <c r="E254" s="9">
        <v>2757823</v>
      </c>
      <c r="F254" s="9">
        <v>3740</v>
      </c>
      <c r="G254" s="9">
        <f>E254-F254</f>
        <v>2754083</v>
      </c>
      <c r="H254" s="9">
        <f>ROUND(G254*18%,0)</f>
        <v>495735</v>
      </c>
      <c r="I254" s="9">
        <f>G254+H254</f>
        <v>3249818</v>
      </c>
      <c r="J254" s="9">
        <f>ROUND(G254*$J$6,)</f>
        <v>27541</v>
      </c>
      <c r="K254" s="9">
        <f>ROUND(G254*$K$6,)</f>
        <v>137704</v>
      </c>
      <c r="L254" s="9">
        <f>G254*10%</f>
        <v>275408.3</v>
      </c>
      <c r="M254" s="9">
        <f>ROUND(G254*$M$6,)</f>
        <v>275408</v>
      </c>
      <c r="N254" s="63">
        <f>H254</f>
        <v>495735</v>
      </c>
      <c r="O254" s="9">
        <v>33931</v>
      </c>
      <c r="P254" s="9">
        <f>ROUND(I254-SUM(J254:O254),0)</f>
        <v>2004091</v>
      </c>
      <c r="Q254" s="34"/>
      <c r="R254" s="9"/>
      <c r="S254" s="9"/>
      <c r="T254" s="9">
        <v>396000</v>
      </c>
      <c r="U254" s="28" t="s">
        <v>155</v>
      </c>
    </row>
    <row r="255" spans="1:21" x14ac:dyDescent="0.25">
      <c r="A255" s="23">
        <v>62210</v>
      </c>
      <c r="B255" s="21" t="s">
        <v>112</v>
      </c>
      <c r="C255" s="14"/>
      <c r="D255" s="17">
        <v>7</v>
      </c>
      <c r="E255" s="9">
        <f>N254</f>
        <v>495735</v>
      </c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63">
        <f>E255</f>
        <v>495735</v>
      </c>
      <c r="Q255" s="34"/>
      <c r="R255" s="9"/>
      <c r="S255" s="9"/>
      <c r="T255" s="9">
        <v>247500</v>
      </c>
      <c r="U255" s="28" t="s">
        <v>156</v>
      </c>
    </row>
    <row r="256" spans="1:21" x14ac:dyDescent="0.25">
      <c r="A256" s="23">
        <v>62210</v>
      </c>
      <c r="B256" s="21"/>
      <c r="C256" s="14"/>
      <c r="D256" s="17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34"/>
      <c r="R256" s="9"/>
      <c r="S256" s="9"/>
      <c r="T256" s="9">
        <v>495000</v>
      </c>
      <c r="U256" s="28" t="s">
        <v>157</v>
      </c>
    </row>
    <row r="257" spans="1:21" x14ac:dyDescent="0.25">
      <c r="A257" s="23">
        <v>62210</v>
      </c>
      <c r="B257" s="21"/>
      <c r="C257" s="14"/>
      <c r="D257" s="17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34"/>
      <c r="R257" s="9"/>
      <c r="S257" s="9"/>
      <c r="T257" s="9">
        <v>300000</v>
      </c>
      <c r="U257" s="28" t="s">
        <v>181</v>
      </c>
    </row>
    <row r="258" spans="1:21" x14ac:dyDescent="0.25">
      <c r="A258" s="23">
        <v>62210</v>
      </c>
      <c r="B258" s="21"/>
      <c r="C258" s="14"/>
      <c r="D258" s="17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34"/>
      <c r="R258" s="9"/>
      <c r="S258" s="9"/>
      <c r="T258" s="9">
        <v>565591</v>
      </c>
      <c r="U258" s="28" t="s">
        <v>194</v>
      </c>
    </row>
    <row r="259" spans="1:21" x14ac:dyDescent="0.25">
      <c r="A259" s="23">
        <v>62210</v>
      </c>
      <c r="B259" s="21"/>
      <c r="C259" s="14"/>
      <c r="D259" s="17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34"/>
      <c r="R259" s="9"/>
      <c r="S259" s="9"/>
      <c r="T259" s="80">
        <v>400000</v>
      </c>
      <c r="U259" s="81" t="s">
        <v>219</v>
      </c>
    </row>
    <row r="260" spans="1:21" x14ac:dyDescent="0.25">
      <c r="A260" s="23">
        <v>62210</v>
      </c>
      <c r="B260" s="21"/>
      <c r="C260" s="14"/>
      <c r="D260" s="17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34"/>
      <c r="R260" s="9"/>
      <c r="S260" s="9"/>
      <c r="T260" s="80">
        <v>247500</v>
      </c>
      <c r="U260" s="81" t="s">
        <v>237</v>
      </c>
    </row>
    <row r="261" spans="1:21" x14ac:dyDescent="0.25">
      <c r="A261" s="100">
        <v>63871</v>
      </c>
      <c r="B261" s="24"/>
      <c r="C261" s="25"/>
      <c r="D261" s="26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27">
        <v>63871</v>
      </c>
      <c r="R261" s="35"/>
      <c r="S261" s="35"/>
      <c r="T261" s="11"/>
      <c r="U261" s="23"/>
    </row>
    <row r="262" spans="1:21" ht="37.5" x14ac:dyDescent="0.25">
      <c r="A262" s="100">
        <v>63871</v>
      </c>
      <c r="B262" s="21" t="s">
        <v>283</v>
      </c>
      <c r="C262" s="14">
        <v>45623</v>
      </c>
      <c r="D262" s="17">
        <v>18</v>
      </c>
      <c r="E262" s="9">
        <v>198481.5</v>
      </c>
      <c r="F262" s="9">
        <v>0</v>
      </c>
      <c r="G262" s="9">
        <f>E262-F262</f>
        <v>198481.5</v>
      </c>
      <c r="H262" s="9">
        <f>(G262*18%)</f>
        <v>35726.67</v>
      </c>
      <c r="I262" s="9">
        <f>G262+H262</f>
        <v>234208.16999999998</v>
      </c>
      <c r="J262" s="9">
        <f>ROUND(G262*$J$6,)</f>
        <v>1985</v>
      </c>
      <c r="K262" s="9">
        <f>ROUND(G262*$K$6,)</f>
        <v>9924</v>
      </c>
      <c r="L262" s="9"/>
      <c r="M262" s="9"/>
      <c r="N262" s="63">
        <f>H262</f>
        <v>35726.67</v>
      </c>
      <c r="O262" s="9">
        <v>8999</v>
      </c>
      <c r="P262" s="9">
        <f>ROUND(I262-SUM(J262:O262),0)</f>
        <v>177574</v>
      </c>
      <c r="Q262" s="98"/>
      <c r="R262" s="9"/>
      <c r="S262" s="9"/>
      <c r="T262" s="9">
        <v>198000</v>
      </c>
      <c r="U262" s="28" t="s">
        <v>232</v>
      </c>
    </row>
    <row r="263" spans="1:21" x14ac:dyDescent="0.25">
      <c r="A263" s="100">
        <v>63871</v>
      </c>
      <c r="B263" s="21" t="s">
        <v>112</v>
      </c>
      <c r="C263" s="14"/>
      <c r="D263" s="17">
        <v>18</v>
      </c>
      <c r="E263" s="9">
        <f>N262</f>
        <v>35726.67</v>
      </c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63">
        <f>E263</f>
        <v>35726.67</v>
      </c>
      <c r="Q263" s="34"/>
      <c r="R263" s="9"/>
      <c r="S263" s="9"/>
      <c r="T263" s="9"/>
      <c r="U263" s="28"/>
    </row>
    <row r="264" spans="1:21" x14ac:dyDescent="0.25">
      <c r="A264" s="100"/>
      <c r="B264" s="21"/>
      <c r="C264" s="14"/>
      <c r="D264" s="17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34"/>
      <c r="R264" s="9"/>
      <c r="S264" s="9"/>
      <c r="T264" s="9"/>
      <c r="U264" s="28"/>
    </row>
    <row r="265" spans="1:21" x14ac:dyDescent="0.25">
      <c r="A265" s="100"/>
      <c r="B265" s="24"/>
      <c r="C265" s="25"/>
      <c r="D265" s="26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27">
        <v>64215</v>
      </c>
      <c r="R265" s="35"/>
      <c r="S265" s="35"/>
      <c r="T265" s="11"/>
      <c r="U265" s="23"/>
    </row>
    <row r="266" spans="1:21" ht="37.5" x14ac:dyDescent="0.25">
      <c r="A266" s="20">
        <v>64215</v>
      </c>
      <c r="B266" s="21" t="s">
        <v>284</v>
      </c>
      <c r="C266" s="14">
        <v>45455</v>
      </c>
      <c r="D266" s="17">
        <v>5</v>
      </c>
      <c r="E266" s="9">
        <v>529890</v>
      </c>
      <c r="F266" s="9"/>
      <c r="G266" s="9">
        <f>E266-F266</f>
        <v>529890</v>
      </c>
      <c r="H266" s="9">
        <f>ROUND(G266*18%,0)</f>
        <v>95380</v>
      </c>
      <c r="I266" s="9">
        <f>G266+H266</f>
        <v>625270</v>
      </c>
      <c r="J266" s="9">
        <f>ROUND(G266*$J$6,)</f>
        <v>5299</v>
      </c>
      <c r="K266" s="9">
        <f>ROUND(G266*$K$6,)</f>
        <v>26495</v>
      </c>
      <c r="L266" s="9">
        <f>G266*10%</f>
        <v>52989</v>
      </c>
      <c r="M266" s="9">
        <f>ROUND(G266*$M$6,)</f>
        <v>52989</v>
      </c>
      <c r="N266" s="63">
        <f>H266</f>
        <v>95380</v>
      </c>
      <c r="O266" s="9"/>
      <c r="P266" s="9">
        <f>ROUND(I266-SUM(J266:O266),0)</f>
        <v>392118</v>
      </c>
      <c r="Q266" s="34"/>
      <c r="R266" s="31"/>
      <c r="S266" s="31"/>
      <c r="T266" s="9">
        <v>392118</v>
      </c>
      <c r="U266" s="28" t="s">
        <v>193</v>
      </c>
    </row>
    <row r="267" spans="1:21" ht="37.5" x14ac:dyDescent="0.25">
      <c r="A267" s="20">
        <v>64215</v>
      </c>
      <c r="B267" s="21" t="s">
        <v>284</v>
      </c>
      <c r="C267" s="37">
        <v>45522</v>
      </c>
      <c r="D267" s="38">
        <v>12</v>
      </c>
      <c r="E267" s="39">
        <v>818080</v>
      </c>
      <c r="F267" s="39">
        <v>17592</v>
      </c>
      <c r="G267" s="9">
        <f>E267-F267</f>
        <v>800488</v>
      </c>
      <c r="H267" s="9">
        <f>ROUND(G267*18%,0)</f>
        <v>144088</v>
      </c>
      <c r="I267" s="9">
        <f>G267+H267</f>
        <v>944576</v>
      </c>
      <c r="J267" s="9">
        <f>ROUND(G267*$J$6,)</f>
        <v>8005</v>
      </c>
      <c r="K267" s="9">
        <f>ROUND(G267*$K$6,)</f>
        <v>40024</v>
      </c>
      <c r="L267" s="9">
        <f>G267*10%</f>
        <v>80048.800000000003</v>
      </c>
      <c r="M267" s="9">
        <f>ROUND(G267*$M$6,)</f>
        <v>80049</v>
      </c>
      <c r="N267" s="63">
        <f>H267</f>
        <v>144088</v>
      </c>
      <c r="O267" s="9">
        <v>28709</v>
      </c>
      <c r="P267" s="9">
        <f>ROUND(I267-SUM(J267:O267),0)</f>
        <v>563652</v>
      </c>
      <c r="Q267" s="79"/>
      <c r="R267" s="9"/>
      <c r="S267" s="9"/>
      <c r="T267" s="9">
        <v>495000</v>
      </c>
      <c r="U267" s="9" t="s">
        <v>201</v>
      </c>
    </row>
    <row r="268" spans="1:21" x14ac:dyDescent="0.25">
      <c r="A268" s="20">
        <v>64215</v>
      </c>
      <c r="B268" s="21" t="s">
        <v>112</v>
      </c>
      <c r="C268" s="14"/>
      <c r="D268" s="17" t="s">
        <v>211</v>
      </c>
      <c r="E268" s="9">
        <f>N266+N267</f>
        <v>239468</v>
      </c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63">
        <f>E268:E268</f>
        <v>239468</v>
      </c>
      <c r="Q268" s="9"/>
      <c r="R268" s="9"/>
      <c r="S268" s="9"/>
      <c r="T268" s="80">
        <v>99000</v>
      </c>
      <c r="U268" s="80" t="s">
        <v>212</v>
      </c>
    </row>
    <row r="269" spans="1:21" x14ac:dyDescent="0.25">
      <c r="A269" s="20">
        <v>64215</v>
      </c>
      <c r="B269" s="21"/>
      <c r="C269" s="14"/>
      <c r="D269" s="17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80">
        <v>148500</v>
      </c>
      <c r="U269" s="80" t="s">
        <v>228</v>
      </c>
    </row>
    <row r="270" spans="1:21" x14ac:dyDescent="0.25">
      <c r="A270" s="20">
        <v>64215</v>
      </c>
      <c r="B270" s="21"/>
      <c r="C270" s="14"/>
      <c r="D270" s="17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80">
        <v>247500</v>
      </c>
      <c r="U270" s="80" t="s">
        <v>236</v>
      </c>
    </row>
    <row r="271" spans="1:21" x14ac:dyDescent="0.25">
      <c r="A271" s="100"/>
      <c r="B271" s="24"/>
      <c r="C271" s="25"/>
      <c r="D271" s="26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27">
        <v>64216</v>
      </c>
      <c r="R271" s="35"/>
      <c r="S271" s="35"/>
      <c r="T271" s="11"/>
      <c r="U271" s="23"/>
    </row>
    <row r="272" spans="1:21" x14ac:dyDescent="0.25">
      <c r="A272" s="20">
        <v>64216</v>
      </c>
      <c r="B272" s="21" t="s">
        <v>285</v>
      </c>
      <c r="C272" s="14">
        <v>45745</v>
      </c>
      <c r="D272" s="17">
        <v>31</v>
      </c>
      <c r="E272" s="9">
        <v>725244</v>
      </c>
      <c r="F272" s="9">
        <v>39443</v>
      </c>
      <c r="G272" s="9">
        <f>E272-F272</f>
        <v>685801</v>
      </c>
      <c r="H272" s="9">
        <f>ROUND(G272*18%,0)</f>
        <v>123444</v>
      </c>
      <c r="I272" s="9">
        <f>G272+H272</f>
        <v>809245</v>
      </c>
      <c r="J272" s="9">
        <f>ROUND(G272*$J$6,)</f>
        <v>6858</v>
      </c>
      <c r="K272" s="9">
        <f>ROUND(G272*$K$6,)</f>
        <v>34290</v>
      </c>
      <c r="L272" s="9">
        <f>G272*10%</f>
        <v>68580.100000000006</v>
      </c>
      <c r="M272" s="9">
        <f>ROUND(G272*$M$6,)</f>
        <v>68580</v>
      </c>
      <c r="N272" s="63">
        <f>H272</f>
        <v>123444</v>
      </c>
      <c r="O272" s="9">
        <v>70292</v>
      </c>
      <c r="P272" s="9">
        <f>ROUND(I272-SUM(J272:O272),0)</f>
        <v>437201</v>
      </c>
      <c r="Q272" s="9"/>
      <c r="R272" s="9"/>
      <c r="S272" s="9"/>
      <c r="T272" s="80">
        <v>495000</v>
      </c>
      <c r="U272" s="80" t="s">
        <v>221</v>
      </c>
    </row>
    <row r="273" spans="1:74" s="95" customFormat="1" x14ac:dyDescent="0.25">
      <c r="A273" s="20">
        <v>64216</v>
      </c>
      <c r="B273" s="21"/>
      <c r="C273" s="14"/>
      <c r="D273" s="17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>
        <v>198000</v>
      </c>
      <c r="U273" s="9" t="s">
        <v>224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</row>
    <row r="274" spans="1:74" x14ac:dyDescent="0.25">
      <c r="A274" s="20">
        <v>64216</v>
      </c>
      <c r="B274" s="21" t="s">
        <v>285</v>
      </c>
      <c r="C274" s="14">
        <v>45745</v>
      </c>
      <c r="D274" s="17">
        <v>32</v>
      </c>
      <c r="E274" s="9">
        <v>219492</v>
      </c>
      <c r="F274" s="9">
        <v>0</v>
      </c>
      <c r="G274" s="9">
        <f>E274-F274</f>
        <v>219492</v>
      </c>
      <c r="H274" s="9">
        <f>ROUND(G274*18%,0)</f>
        <v>39509</v>
      </c>
      <c r="I274" s="9">
        <f>G274+H274</f>
        <v>259001</v>
      </c>
      <c r="J274" s="9">
        <f>ROUND(G274*$J$6,)</f>
        <v>2195</v>
      </c>
      <c r="K274" s="9">
        <f>ROUND(G274*$K$6,)</f>
        <v>10975</v>
      </c>
      <c r="L274" s="9">
        <v>0</v>
      </c>
      <c r="M274" s="9">
        <v>0</v>
      </c>
      <c r="N274" s="63">
        <f>H274</f>
        <v>39509</v>
      </c>
      <c r="O274" s="9"/>
      <c r="P274" s="9">
        <f>ROUND(I274-SUM(J274:O274),0)</f>
        <v>206322</v>
      </c>
      <c r="Q274" s="9"/>
      <c r="R274" s="9"/>
      <c r="S274" s="9"/>
      <c r="T274" s="9">
        <v>198000</v>
      </c>
      <c r="U274" s="9" t="s">
        <v>242</v>
      </c>
    </row>
    <row r="275" spans="1:74" x14ac:dyDescent="0.25">
      <c r="A275" s="99"/>
      <c r="B275" s="21"/>
      <c r="C275" s="14"/>
      <c r="D275" s="17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</row>
    <row r="276" spans="1:74" x14ac:dyDescent="0.25">
      <c r="A276" s="100"/>
      <c r="B276" s="24"/>
      <c r="C276" s="25"/>
      <c r="D276" s="26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27">
        <f>A277</f>
        <v>66267</v>
      </c>
      <c r="R276" s="35"/>
      <c r="S276" s="35"/>
      <c r="T276" s="11"/>
      <c r="U276" s="23"/>
    </row>
    <row r="277" spans="1:74" s="96" customFormat="1" ht="37.5" x14ac:dyDescent="0.25">
      <c r="A277" s="20">
        <v>66267</v>
      </c>
      <c r="B277" s="21" t="s">
        <v>286</v>
      </c>
      <c r="C277" s="14">
        <v>45744</v>
      </c>
      <c r="D277" s="17">
        <v>29</v>
      </c>
      <c r="E277" s="9">
        <v>1122104</v>
      </c>
      <c r="F277" s="9">
        <v>10520</v>
      </c>
      <c r="G277" s="9">
        <f>E277-F277</f>
        <v>1111584</v>
      </c>
      <c r="H277" s="9">
        <f>ROUND(G277*18%,0)</f>
        <v>200085</v>
      </c>
      <c r="I277" s="9">
        <f>G277+H277</f>
        <v>1311669</v>
      </c>
      <c r="J277" s="9">
        <f>ROUND(G277*$J$6,)</f>
        <v>11116</v>
      </c>
      <c r="K277" s="9">
        <f>ROUND(G277*$K$6,)</f>
        <v>55579</v>
      </c>
      <c r="L277" s="9">
        <f>G277*10%</f>
        <v>111158.40000000001</v>
      </c>
      <c r="M277" s="9">
        <f>ROUND(G277*$M$6,)</f>
        <v>111158</v>
      </c>
      <c r="N277" s="63">
        <f>H277</f>
        <v>200085</v>
      </c>
      <c r="O277" s="9">
        <v>13332</v>
      </c>
      <c r="P277" s="9">
        <f>ROUND(I277-SUM(J277:O277),0)</f>
        <v>809241</v>
      </c>
      <c r="Q277" s="74"/>
      <c r="R277" s="9"/>
      <c r="S277" s="9"/>
      <c r="T277" s="9">
        <v>396000</v>
      </c>
      <c r="U277" s="9" t="s">
        <v>223</v>
      </c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</row>
    <row r="278" spans="1:74" s="96" customFormat="1" x14ac:dyDescent="0.25">
      <c r="A278" s="20">
        <v>66267</v>
      </c>
      <c r="B278" s="21" t="s">
        <v>112</v>
      </c>
      <c r="C278" s="14"/>
      <c r="D278" s="17">
        <v>29</v>
      </c>
      <c r="E278" s="9">
        <f>N277</f>
        <v>200085</v>
      </c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>
        <f>E278</f>
        <v>200085</v>
      </c>
      <c r="Q278" s="9"/>
      <c r="R278" s="9"/>
      <c r="S278" s="9"/>
      <c r="T278" s="80">
        <v>198000</v>
      </c>
      <c r="U278" s="80" t="s">
        <v>225</v>
      </c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</row>
    <row r="279" spans="1:74" x14ac:dyDescent="0.25">
      <c r="A279" s="20">
        <v>66267</v>
      </c>
      <c r="B279" s="92"/>
      <c r="C279" s="93"/>
      <c r="D279" s="94"/>
      <c r="E279" s="91"/>
      <c r="F279" s="91"/>
      <c r="G279" s="91"/>
      <c r="H279" s="91"/>
      <c r="I279" s="91"/>
      <c r="J279" s="91"/>
      <c r="K279" s="91"/>
      <c r="L279" s="91"/>
      <c r="M279" s="91"/>
      <c r="N279" s="91"/>
      <c r="O279" s="91"/>
      <c r="P279" s="91"/>
      <c r="Q279" s="91"/>
      <c r="R279" s="91"/>
      <c r="S279" s="91"/>
      <c r="T279" s="80">
        <v>198000</v>
      </c>
      <c r="U279" s="80" t="s">
        <v>234</v>
      </c>
    </row>
    <row r="280" spans="1:74" x14ac:dyDescent="0.25">
      <c r="A280" s="20">
        <v>66267</v>
      </c>
      <c r="B280" s="92"/>
      <c r="C280" s="93"/>
      <c r="D280" s="94"/>
      <c r="E280" s="91"/>
      <c r="F280" s="91"/>
      <c r="G280" s="91"/>
      <c r="H280" s="91"/>
      <c r="I280" s="91"/>
      <c r="J280" s="91"/>
      <c r="K280" s="91"/>
      <c r="L280" s="91"/>
      <c r="M280" s="91"/>
      <c r="N280" s="91"/>
      <c r="O280" s="91"/>
      <c r="P280" s="91"/>
      <c r="Q280" s="91"/>
      <c r="R280" s="91"/>
      <c r="S280" s="91"/>
      <c r="T280" s="80">
        <v>198000</v>
      </c>
      <c r="U280" s="80" t="s">
        <v>241</v>
      </c>
    </row>
    <row r="281" spans="1:74" x14ac:dyDescent="0.25">
      <c r="A281" s="101"/>
      <c r="B281" s="92"/>
      <c r="C281" s="93"/>
      <c r="D281" s="94"/>
      <c r="E281" s="91"/>
      <c r="F281" s="91"/>
      <c r="G281" s="91"/>
      <c r="H281" s="91"/>
      <c r="I281" s="91"/>
      <c r="J281" s="91"/>
      <c r="K281" s="91"/>
      <c r="L281" s="91"/>
      <c r="M281" s="91"/>
      <c r="N281" s="91"/>
      <c r="O281" s="91"/>
      <c r="P281" s="91"/>
      <c r="Q281" s="91"/>
      <c r="R281" s="91"/>
      <c r="S281" s="91"/>
      <c r="T281" s="80"/>
      <c r="U281" s="80"/>
    </row>
    <row r="282" spans="1:74" s="97" customFormat="1" x14ac:dyDescent="0.25">
      <c r="A282" s="100"/>
      <c r="B282" s="24"/>
      <c r="C282" s="25"/>
      <c r="D282" s="26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27">
        <f>A283</f>
        <v>66586</v>
      </c>
      <c r="R282" s="35"/>
      <c r="S282" s="35"/>
      <c r="T282" s="11"/>
      <c r="U282" s="23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</row>
    <row r="283" spans="1:74" s="95" customFormat="1" ht="37.5" x14ac:dyDescent="0.25">
      <c r="A283" s="20">
        <v>66586</v>
      </c>
      <c r="B283" s="21" t="s">
        <v>287</v>
      </c>
      <c r="C283" s="14">
        <v>45561</v>
      </c>
      <c r="D283" s="17">
        <v>14</v>
      </c>
      <c r="E283" s="9">
        <v>756122</v>
      </c>
      <c r="F283" s="9">
        <f>77184+5280</f>
        <v>82464</v>
      </c>
      <c r="G283" s="9">
        <f>E283-F283</f>
        <v>673658</v>
      </c>
      <c r="H283" s="9">
        <f>ROUND(G283*18%,0)</f>
        <v>121258</v>
      </c>
      <c r="I283" s="9">
        <f>G283+H283</f>
        <v>794916</v>
      </c>
      <c r="J283" s="9">
        <f>ROUND(G283*$J$6,)</f>
        <v>6737</v>
      </c>
      <c r="K283" s="9">
        <f>ROUND(G283*$K$6,)</f>
        <v>33683</v>
      </c>
      <c r="L283" s="9">
        <f>G283*10%</f>
        <v>67365.8</v>
      </c>
      <c r="M283" s="9">
        <f>ROUND(G283*$M$6,)</f>
        <v>67366</v>
      </c>
      <c r="N283" s="63">
        <f>H283</f>
        <v>121258</v>
      </c>
      <c r="O283" s="9"/>
      <c r="P283" s="9">
        <f>ROUND(I283-SUM(J283:O283),0)</f>
        <v>498506</v>
      </c>
      <c r="Q283" s="74"/>
      <c r="R283" s="9"/>
      <c r="S283" s="9"/>
      <c r="T283" s="9">
        <v>297000</v>
      </c>
      <c r="U283" s="9" t="s">
        <v>226</v>
      </c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</row>
    <row r="284" spans="1:74" s="95" customFormat="1" x14ac:dyDescent="0.25">
      <c r="A284" s="20">
        <v>66586</v>
      </c>
      <c r="B284" s="21" t="s">
        <v>112</v>
      </c>
      <c r="C284" s="14"/>
      <c r="D284" s="17">
        <v>14</v>
      </c>
      <c r="E284" s="9">
        <f>N283</f>
        <v>121258</v>
      </c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>
        <f>E284</f>
        <v>121258</v>
      </c>
      <c r="Q284" s="9"/>
      <c r="R284" s="9"/>
      <c r="S284" s="9"/>
      <c r="T284" s="80">
        <v>198000</v>
      </c>
      <c r="U284" s="80" t="s">
        <v>229</v>
      </c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</row>
    <row r="285" spans="1:74" s="95" customFormat="1" x14ac:dyDescent="0.25">
      <c r="A285" s="20">
        <v>66586</v>
      </c>
      <c r="B285" s="21"/>
      <c r="C285" s="14"/>
      <c r="D285" s="17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80">
        <v>198000</v>
      </c>
      <c r="U285" s="80" t="s">
        <v>230</v>
      </c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</row>
    <row r="286" spans="1:74" s="95" customFormat="1" x14ac:dyDescent="0.25">
      <c r="A286" s="20">
        <v>66586</v>
      </c>
      <c r="B286" s="21"/>
      <c r="C286" s="14"/>
      <c r="D286" s="17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80">
        <v>198000</v>
      </c>
      <c r="U286" s="80" t="s">
        <v>233</v>
      </c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</row>
    <row r="287" spans="1:74" s="96" customFormat="1" x14ac:dyDescent="0.25">
      <c r="A287" s="100"/>
      <c r="B287" s="24"/>
      <c r="C287" s="25"/>
      <c r="D287" s="26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27">
        <f>A288</f>
        <v>66587</v>
      </c>
      <c r="R287" s="35"/>
      <c r="S287" s="35"/>
      <c r="T287" s="11"/>
      <c r="U287" s="23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</row>
    <row r="288" spans="1:74" s="95" customFormat="1" x14ac:dyDescent="0.25">
      <c r="A288" s="20">
        <v>66587</v>
      </c>
      <c r="B288" s="21" t="s">
        <v>288</v>
      </c>
      <c r="C288" s="14">
        <v>45744</v>
      </c>
      <c r="D288" s="17">
        <v>28</v>
      </c>
      <c r="E288" s="9">
        <v>1305502</v>
      </c>
      <c r="F288" s="9">
        <v>261054</v>
      </c>
      <c r="G288" s="9">
        <f>E288-F288</f>
        <v>1044448</v>
      </c>
      <c r="H288" s="9">
        <f>ROUND(G288*18%,0)</f>
        <v>188001</v>
      </c>
      <c r="I288" s="9">
        <f>G288+H288</f>
        <v>1232449</v>
      </c>
      <c r="J288" s="9">
        <f>ROUND(G288*$J$6,)</f>
        <v>10444</v>
      </c>
      <c r="K288" s="9">
        <f>ROUND(G288*$K$6,)</f>
        <v>52222</v>
      </c>
      <c r="L288" s="9">
        <f>G288*10%</f>
        <v>104444.8</v>
      </c>
      <c r="M288" s="9">
        <f>ROUND(G288*$M$6,)</f>
        <v>104445</v>
      </c>
      <c r="N288" s="63">
        <f>H288</f>
        <v>188001</v>
      </c>
      <c r="O288" s="9">
        <v>100587</v>
      </c>
      <c r="P288" s="9">
        <f>ROUND(I288-SUM(J288:O288),0)</f>
        <v>672305</v>
      </c>
      <c r="Q288" s="74"/>
      <c r="R288" s="9"/>
      <c r="S288" s="9"/>
      <c r="T288" s="9">
        <v>297000</v>
      </c>
      <c r="U288" s="9" t="s">
        <v>227</v>
      </c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</row>
    <row r="289" spans="1:21" x14ac:dyDescent="0.25">
      <c r="A289" s="20">
        <v>66587</v>
      </c>
      <c r="B289" s="21" t="s">
        <v>112</v>
      </c>
      <c r="C289" s="14"/>
      <c r="D289" s="17">
        <v>28</v>
      </c>
      <c r="E289" s="9">
        <f>N288</f>
        <v>188001</v>
      </c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>
        <f>E289</f>
        <v>188001</v>
      </c>
      <c r="Q289" s="91"/>
      <c r="R289" s="91"/>
      <c r="S289" s="91"/>
      <c r="T289" s="80">
        <v>297000</v>
      </c>
      <c r="U289" s="80" t="s">
        <v>235</v>
      </c>
    </row>
    <row r="290" spans="1:21" x14ac:dyDescent="0.25">
      <c r="A290" s="20">
        <v>66587</v>
      </c>
      <c r="B290" s="92"/>
      <c r="C290" s="93"/>
      <c r="D290" s="94"/>
      <c r="E290" s="91"/>
      <c r="F290" s="91"/>
      <c r="G290" s="91"/>
      <c r="H290" s="91"/>
      <c r="I290" s="91"/>
      <c r="J290" s="91"/>
      <c r="K290" s="91"/>
      <c r="L290" s="91"/>
      <c r="M290" s="91"/>
      <c r="N290" s="91"/>
      <c r="O290" s="91"/>
      <c r="P290" s="91"/>
      <c r="Q290" s="91"/>
      <c r="R290" s="91"/>
      <c r="S290" s="91"/>
      <c r="T290" s="91">
        <v>198000</v>
      </c>
      <c r="U290" s="80" t="s">
        <v>240</v>
      </c>
    </row>
    <row r="291" spans="1:21" x14ac:dyDescent="0.25">
      <c r="A291" s="20">
        <v>66587</v>
      </c>
      <c r="B291" s="92"/>
      <c r="C291" s="93"/>
      <c r="D291" s="94"/>
      <c r="E291" s="91"/>
      <c r="F291" s="91"/>
      <c r="G291" s="91"/>
      <c r="H291" s="91"/>
      <c r="I291" s="91"/>
      <c r="J291" s="91"/>
      <c r="K291" s="91"/>
      <c r="L291" s="91"/>
      <c r="M291" s="91"/>
      <c r="N291" s="91"/>
      <c r="O291" s="91"/>
      <c r="P291" s="91"/>
      <c r="Q291" s="91"/>
      <c r="R291" s="91"/>
      <c r="S291" s="91"/>
      <c r="T291" s="91">
        <v>222750</v>
      </c>
      <c r="U291" s="9" t="s">
        <v>243</v>
      </c>
    </row>
    <row r="292" spans="1:21" x14ac:dyDescent="0.25">
      <c r="A292" s="20">
        <v>66587</v>
      </c>
      <c r="B292" s="92"/>
      <c r="C292" s="93"/>
      <c r="D292" s="94"/>
      <c r="E292" s="91"/>
      <c r="F292" s="91"/>
      <c r="G292" s="91"/>
      <c r="H292" s="91"/>
      <c r="I292" s="91"/>
      <c r="J292" s="91"/>
      <c r="K292" s="91"/>
      <c r="L292" s="91"/>
      <c r="M292" s="91"/>
      <c r="N292" s="91"/>
      <c r="O292" s="91"/>
      <c r="P292" s="91"/>
      <c r="Q292" s="91"/>
      <c r="R292" s="91"/>
      <c r="S292" s="91"/>
      <c r="T292" s="91">
        <v>99000</v>
      </c>
      <c r="U292" s="9" t="s">
        <v>248</v>
      </c>
    </row>
    <row r="293" spans="1:21" x14ac:dyDescent="0.25">
      <c r="A293" s="100"/>
      <c r="B293" s="24"/>
      <c r="C293" s="25"/>
      <c r="D293" s="26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27">
        <f>A294</f>
        <v>68521</v>
      </c>
      <c r="R293" s="35"/>
      <c r="S293" s="35"/>
      <c r="T293" s="11"/>
      <c r="U293" s="23"/>
    </row>
    <row r="294" spans="1:21" ht="37.5" x14ac:dyDescent="0.25">
      <c r="A294" s="20">
        <v>68521</v>
      </c>
      <c r="B294" s="21" t="s">
        <v>289</v>
      </c>
      <c r="C294" s="14"/>
      <c r="D294" s="17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>
        <v>396000</v>
      </c>
      <c r="U294" s="9" t="s">
        <v>238</v>
      </c>
    </row>
    <row r="295" spans="1:21" x14ac:dyDescent="0.25">
      <c r="A295" s="20">
        <v>68521</v>
      </c>
      <c r="B295" s="92"/>
      <c r="C295" s="93"/>
      <c r="D295" s="94"/>
      <c r="E295" s="91"/>
      <c r="F295" s="91"/>
      <c r="G295" s="91"/>
      <c r="H295" s="91"/>
      <c r="I295" s="91"/>
      <c r="J295" s="91"/>
      <c r="K295" s="91"/>
      <c r="L295" s="91"/>
      <c r="M295" s="91"/>
      <c r="N295" s="91"/>
      <c r="O295" s="91"/>
      <c r="P295" s="91"/>
      <c r="Q295" s="91"/>
      <c r="R295" s="91"/>
      <c r="S295" s="91"/>
      <c r="T295" s="80">
        <v>198000</v>
      </c>
      <c r="U295" s="80" t="s">
        <v>247</v>
      </c>
    </row>
    <row r="296" spans="1:21" x14ac:dyDescent="0.25">
      <c r="A296" s="100"/>
      <c r="B296" s="24"/>
      <c r="C296" s="25"/>
      <c r="D296" s="26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27">
        <f>A297</f>
        <v>68522</v>
      </c>
      <c r="R296" s="35"/>
      <c r="S296" s="35"/>
      <c r="T296" s="11"/>
      <c r="U296" s="23"/>
    </row>
    <row r="297" spans="1:21" ht="37.5" x14ac:dyDescent="0.25">
      <c r="A297" s="20">
        <v>68522</v>
      </c>
      <c r="B297" s="21" t="s">
        <v>290</v>
      </c>
      <c r="C297" s="14"/>
      <c r="D297" s="17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>
        <v>198000</v>
      </c>
      <c r="U297" s="9" t="s">
        <v>239</v>
      </c>
    </row>
    <row r="298" spans="1:21" x14ac:dyDescent="0.25">
      <c r="A298" s="20">
        <v>68522</v>
      </c>
      <c r="B298" s="21"/>
      <c r="C298" s="14"/>
      <c r="D298" s="17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>
        <v>198000</v>
      </c>
      <c r="U298" s="9" t="s">
        <v>246</v>
      </c>
    </row>
    <row r="299" spans="1:21" x14ac:dyDescent="0.25">
      <c r="A299" s="91"/>
      <c r="B299" s="92"/>
      <c r="C299" s="93"/>
      <c r="D299" s="94"/>
      <c r="E299" s="91"/>
      <c r="F299" s="91"/>
      <c r="G299" s="91"/>
      <c r="H299" s="91"/>
      <c r="I299" s="91"/>
      <c r="J299" s="91"/>
      <c r="K299" s="91"/>
      <c r="L299" s="91"/>
      <c r="M299" s="91"/>
      <c r="N299" s="91"/>
      <c r="O299" s="91"/>
      <c r="P299" s="91"/>
      <c r="Q299" s="91"/>
      <c r="R299" s="91"/>
      <c r="S299" s="91"/>
      <c r="T299" s="91"/>
      <c r="U299" s="91"/>
    </row>
    <row r="300" spans="1:21" ht="19.5" thickBot="1" x14ac:dyDescent="0.3">
      <c r="A300" s="75"/>
      <c r="B300" s="76"/>
      <c r="C300" s="77"/>
      <c r="D300" s="78"/>
      <c r="E300" s="75"/>
      <c r="F300" s="75"/>
      <c r="G300" s="75"/>
      <c r="H300" s="75"/>
      <c r="I300" s="75"/>
      <c r="J300" s="75"/>
      <c r="K300" s="75"/>
      <c r="L300" s="75"/>
      <c r="M300" s="75"/>
      <c r="N300" s="75"/>
      <c r="O300" s="75"/>
      <c r="P300" s="75"/>
      <c r="Q300" s="75"/>
      <c r="R300" s="75"/>
      <c r="S300" s="75"/>
      <c r="T300" s="75"/>
      <c r="U300" s="75"/>
    </row>
    <row r="301" spans="1:21" x14ac:dyDescent="0.25">
      <c r="A301" s="44"/>
      <c r="B301" s="45"/>
      <c r="C301" s="46"/>
      <c r="D301" s="47"/>
      <c r="E301" s="44"/>
      <c r="F301" s="48"/>
      <c r="G301" s="44"/>
      <c r="H301" s="48"/>
      <c r="I301" s="44"/>
      <c r="J301" s="44"/>
      <c r="K301" s="48"/>
      <c r="L301" s="48"/>
      <c r="M301" s="48"/>
      <c r="N301" s="48"/>
      <c r="O301" s="48"/>
      <c r="P301" s="48"/>
      <c r="Q301" s="44"/>
      <c r="R301" s="44"/>
      <c r="S301" s="44"/>
      <c r="T301" s="48"/>
      <c r="U301" s="44"/>
    </row>
    <row r="302" spans="1:21" x14ac:dyDescent="0.25">
      <c r="A302" s="9"/>
      <c r="B302" s="21"/>
      <c r="C302" s="14"/>
      <c r="D302" s="17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</row>
    <row r="303" spans="1:21" x14ac:dyDescent="0.25">
      <c r="A303" s="9"/>
      <c r="B303" s="21"/>
      <c r="C303" s="14"/>
      <c r="D303" s="17"/>
      <c r="E303" s="9"/>
      <c r="F303" s="9"/>
      <c r="G303" s="9"/>
      <c r="H303" s="9"/>
      <c r="I303" s="9"/>
      <c r="J303" s="9"/>
      <c r="K303" s="33"/>
      <c r="L303" s="33"/>
      <c r="M303" s="33"/>
      <c r="N303" s="33"/>
      <c r="O303" s="33"/>
      <c r="P303" s="9"/>
      <c r="Q303" s="9"/>
      <c r="R303" s="9"/>
      <c r="S303" s="9"/>
      <c r="T303" s="33"/>
      <c r="U303" s="9"/>
    </row>
    <row r="304" spans="1:21" ht="19.5" thickBot="1" x14ac:dyDescent="0.3">
      <c r="A304" s="12"/>
      <c r="B304" s="40"/>
      <c r="C304" s="41"/>
      <c r="D304" s="4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</row>
    <row r="307" spans="5:17" x14ac:dyDescent="0.25">
      <c r="F307" s="60"/>
      <c r="G307" s="60"/>
      <c r="H307" s="60"/>
      <c r="I307" s="60"/>
      <c r="J307" s="60"/>
      <c r="K307" s="60"/>
      <c r="L307" s="60"/>
      <c r="M307" s="60"/>
      <c r="N307" s="60"/>
      <c r="O307" s="60"/>
      <c r="P307" s="60"/>
      <c r="Q307" s="60"/>
    </row>
    <row r="308" spans="5:17" ht="19.5" thickBot="1" x14ac:dyDescent="0.3">
      <c r="F308" s="60"/>
      <c r="G308" s="60"/>
      <c r="H308" s="60"/>
      <c r="I308" s="60"/>
      <c r="J308" s="60"/>
      <c r="K308" s="60"/>
      <c r="L308" s="60"/>
      <c r="M308" s="60"/>
      <c r="N308" s="60"/>
      <c r="O308" s="60"/>
      <c r="P308" s="60"/>
      <c r="Q308" s="60"/>
    </row>
    <row r="309" spans="5:17" x14ac:dyDescent="0.25">
      <c r="E309" s="60"/>
      <c r="F309" s="60"/>
      <c r="G309" s="60"/>
      <c r="H309" s="60"/>
      <c r="I309" s="60"/>
      <c r="J309" s="60"/>
      <c r="K309" s="122"/>
      <c r="L309" s="123"/>
      <c r="M309" s="123"/>
      <c r="N309" s="124"/>
      <c r="O309" s="60"/>
      <c r="P309" s="60"/>
      <c r="Q309" s="60"/>
    </row>
    <row r="310" spans="5:17" x14ac:dyDescent="0.25">
      <c r="E310" s="60"/>
      <c r="F310" s="60"/>
      <c r="G310" s="60"/>
      <c r="H310" s="60"/>
      <c r="I310" s="60"/>
      <c r="J310" s="60"/>
      <c r="K310" s="119"/>
      <c r="L310" s="120"/>
      <c r="M310" s="120"/>
      <c r="N310" s="121"/>
      <c r="O310" s="60"/>
      <c r="P310" s="60"/>
      <c r="Q310" s="60"/>
    </row>
    <row r="311" spans="5:17" x14ac:dyDescent="0.25">
      <c r="E311" s="60"/>
      <c r="F311" s="60"/>
      <c r="G311" s="60"/>
      <c r="H311" s="60"/>
      <c r="I311" s="60"/>
      <c r="J311" s="60"/>
      <c r="K311" s="115"/>
      <c r="L311" s="116"/>
      <c r="M311" s="115"/>
      <c r="N311" s="117"/>
      <c r="O311" s="60"/>
      <c r="P311" s="60"/>
      <c r="Q311" s="60"/>
    </row>
    <row r="312" spans="5:17" x14ac:dyDescent="0.25">
      <c r="E312" s="60"/>
      <c r="F312" s="60"/>
      <c r="G312" s="60"/>
      <c r="H312" s="60"/>
      <c r="I312" s="60"/>
      <c r="J312" s="60"/>
      <c r="K312" s="115"/>
      <c r="L312" s="116"/>
      <c r="M312" s="115"/>
      <c r="N312" s="117"/>
      <c r="O312" s="60"/>
      <c r="P312" s="60"/>
      <c r="Q312" s="60"/>
    </row>
    <row r="313" spans="5:17" x14ac:dyDescent="0.25">
      <c r="E313" s="61"/>
      <c r="F313" s="61"/>
      <c r="G313" s="61"/>
      <c r="H313" s="62"/>
      <c r="I313" s="62"/>
      <c r="J313" s="61"/>
      <c r="K313" s="115"/>
      <c r="L313" s="116"/>
      <c r="M313" s="115"/>
      <c r="N313" s="117"/>
      <c r="O313" s="61"/>
      <c r="P313" s="61"/>
      <c r="Q313" s="60"/>
    </row>
    <row r="314" spans="5:17" ht="19.5" thickBot="1" x14ac:dyDescent="0.3">
      <c r="E314" s="61"/>
      <c r="F314" s="61"/>
      <c r="G314" s="61"/>
      <c r="H314" s="62"/>
      <c r="I314" s="62"/>
      <c r="J314" s="61"/>
      <c r="K314" s="111"/>
      <c r="L314" s="112"/>
      <c r="M314" s="111"/>
      <c r="N314" s="118"/>
      <c r="O314" s="61"/>
      <c r="P314" s="61"/>
      <c r="Q314" s="60"/>
    </row>
    <row r="315" spans="5:17" ht="19.5" thickBot="1" x14ac:dyDescent="0.3">
      <c r="E315" s="61"/>
      <c r="F315" s="61"/>
      <c r="G315" s="61"/>
      <c r="H315" s="62"/>
      <c r="I315" s="62"/>
      <c r="J315" s="61"/>
      <c r="K315" s="111"/>
      <c r="L315" s="112"/>
      <c r="M315" s="113"/>
      <c r="N315" s="114"/>
      <c r="O315" s="61"/>
      <c r="P315" s="61"/>
      <c r="Q315" s="60"/>
    </row>
  </sheetData>
  <mergeCells count="15">
    <mergeCell ref="B1:C1"/>
    <mergeCell ref="D2:E2"/>
    <mergeCell ref="H2:I2"/>
    <mergeCell ref="K315:L315"/>
    <mergeCell ref="M315:N315"/>
    <mergeCell ref="K313:L313"/>
    <mergeCell ref="M313:N313"/>
    <mergeCell ref="K314:L314"/>
    <mergeCell ref="M314:N314"/>
    <mergeCell ref="K312:L312"/>
    <mergeCell ref="M312:N312"/>
    <mergeCell ref="K310:N310"/>
    <mergeCell ref="K309:N309"/>
    <mergeCell ref="M311:N311"/>
    <mergeCell ref="K311:L311"/>
  </mergeCells>
  <pageMargins left="0.70866141732283472" right="0.70866141732283472" top="0.74803149606299213" bottom="0.74803149606299213" header="0.31496062992125984" footer="0.31496062992125984"/>
  <pageSetup scale="2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C35"/>
  <sheetViews>
    <sheetView topLeftCell="A13" zoomScale="130" zoomScaleNormal="130" workbookViewId="0">
      <selection activeCell="F28" sqref="F28"/>
    </sheetView>
  </sheetViews>
  <sheetFormatPr defaultRowHeight="15" x14ac:dyDescent="0.25"/>
  <cols>
    <col min="1" max="1" width="13.7109375" customWidth="1"/>
    <col min="2" max="2" width="16.42578125" bestFit="1" customWidth="1"/>
    <col min="3" max="3" width="96.7109375" bestFit="1" customWidth="1"/>
  </cols>
  <sheetData>
    <row r="2" spans="1:3" ht="21" x14ac:dyDescent="0.35">
      <c r="A2" s="125" t="s">
        <v>3</v>
      </c>
      <c r="B2" s="125"/>
      <c r="C2" s="125"/>
    </row>
    <row r="4" spans="1:3" s="83" customFormat="1" x14ac:dyDescent="0.25">
      <c r="A4" s="89" t="s">
        <v>217</v>
      </c>
      <c r="B4" s="89" t="s">
        <v>218</v>
      </c>
      <c r="C4" s="89" t="s">
        <v>1</v>
      </c>
    </row>
    <row r="5" spans="1:3" x14ac:dyDescent="0.25">
      <c r="A5" s="84">
        <v>51559</v>
      </c>
      <c r="B5" s="85">
        <v>396000</v>
      </c>
      <c r="C5" s="86" t="s">
        <v>216</v>
      </c>
    </row>
    <row r="6" spans="1:3" x14ac:dyDescent="0.25">
      <c r="A6" s="84">
        <v>52326</v>
      </c>
      <c r="B6" s="85">
        <v>198000</v>
      </c>
      <c r="C6" s="86" t="s">
        <v>202</v>
      </c>
    </row>
    <row r="7" spans="1:3" x14ac:dyDescent="0.25">
      <c r="A7" s="84">
        <v>52327</v>
      </c>
      <c r="B7" s="85">
        <v>396000</v>
      </c>
      <c r="C7" s="87" t="s">
        <v>203</v>
      </c>
    </row>
    <row r="8" spans="1:3" x14ac:dyDescent="0.25">
      <c r="A8" s="84">
        <v>52526</v>
      </c>
      <c r="B8" s="85">
        <v>396000</v>
      </c>
      <c r="C8" s="86" t="s">
        <v>204</v>
      </c>
    </row>
    <row r="9" spans="1:3" x14ac:dyDescent="0.25">
      <c r="A9" s="84">
        <v>51362</v>
      </c>
      <c r="B9" s="85">
        <v>99000</v>
      </c>
      <c r="C9" s="86" t="s">
        <v>205</v>
      </c>
    </row>
    <row r="10" spans="1:3" x14ac:dyDescent="0.25">
      <c r="A10" s="84">
        <v>51363</v>
      </c>
      <c r="B10" s="85">
        <v>99000</v>
      </c>
      <c r="C10" s="86" t="s">
        <v>206</v>
      </c>
    </row>
    <row r="11" spans="1:3" x14ac:dyDescent="0.25">
      <c r="A11" s="84">
        <v>52324</v>
      </c>
      <c r="B11" s="85">
        <v>99000</v>
      </c>
      <c r="C11" s="86" t="s">
        <v>207</v>
      </c>
    </row>
    <row r="12" spans="1:3" x14ac:dyDescent="0.25">
      <c r="A12" s="84">
        <v>52525</v>
      </c>
      <c r="B12" s="85">
        <v>99000</v>
      </c>
      <c r="C12" s="86" t="s">
        <v>208</v>
      </c>
    </row>
    <row r="13" spans="1:3" x14ac:dyDescent="0.25">
      <c r="A13" s="84">
        <v>53093</v>
      </c>
      <c r="B13" s="85">
        <v>198000</v>
      </c>
      <c r="C13" s="86" t="s">
        <v>209</v>
      </c>
    </row>
    <row r="14" spans="1:3" x14ac:dyDescent="0.25">
      <c r="A14" s="84">
        <v>55076</v>
      </c>
      <c r="B14" s="85">
        <v>198000</v>
      </c>
      <c r="C14" s="86" t="s">
        <v>214</v>
      </c>
    </row>
    <row r="15" spans="1:3" x14ac:dyDescent="0.25">
      <c r="A15" s="84">
        <v>55078</v>
      </c>
      <c r="B15" s="85">
        <v>297000</v>
      </c>
      <c r="C15" s="86" t="s">
        <v>215</v>
      </c>
    </row>
    <row r="16" spans="1:3" x14ac:dyDescent="0.25">
      <c r="A16" s="84">
        <v>57989</v>
      </c>
      <c r="B16" s="85">
        <v>297000</v>
      </c>
      <c r="C16" s="86" t="s">
        <v>213</v>
      </c>
    </row>
    <row r="17" spans="1:3" x14ac:dyDescent="0.25">
      <c r="A17" s="84">
        <v>57990</v>
      </c>
      <c r="B17" s="85">
        <v>99000</v>
      </c>
      <c r="C17" s="86" t="s">
        <v>210</v>
      </c>
    </row>
    <row r="18" spans="1:3" x14ac:dyDescent="0.25">
      <c r="A18" s="84">
        <v>62210</v>
      </c>
      <c r="B18" s="85">
        <v>400000</v>
      </c>
      <c r="C18" s="86" t="s">
        <v>219</v>
      </c>
    </row>
    <row r="19" spans="1:3" x14ac:dyDescent="0.25">
      <c r="A19" s="84">
        <v>64215</v>
      </c>
      <c r="B19" s="85">
        <v>99000</v>
      </c>
      <c r="C19" s="88" t="s">
        <v>212</v>
      </c>
    </row>
    <row r="20" spans="1:3" x14ac:dyDescent="0.25">
      <c r="A20" s="84"/>
      <c r="B20" s="85"/>
      <c r="C20" s="88"/>
    </row>
    <row r="21" spans="1:3" x14ac:dyDescent="0.25">
      <c r="A21" s="84">
        <v>64216</v>
      </c>
      <c r="B21" s="85">
        <v>198000</v>
      </c>
      <c r="C21" s="88" t="s">
        <v>224</v>
      </c>
    </row>
    <row r="22" spans="1:3" x14ac:dyDescent="0.25">
      <c r="A22" s="84">
        <v>66267</v>
      </c>
      <c r="B22" s="85">
        <v>198000</v>
      </c>
      <c r="C22" s="88" t="s">
        <v>225</v>
      </c>
    </row>
    <row r="23" spans="1:3" x14ac:dyDescent="0.25">
      <c r="A23" s="84">
        <v>66267</v>
      </c>
      <c r="B23" s="85">
        <v>396000</v>
      </c>
      <c r="C23" s="88" t="s">
        <v>223</v>
      </c>
    </row>
    <row r="24" spans="1:3" x14ac:dyDescent="0.25">
      <c r="A24" s="84">
        <v>66586</v>
      </c>
      <c r="B24" s="85">
        <v>297000</v>
      </c>
      <c r="C24" s="88" t="s">
        <v>226</v>
      </c>
    </row>
    <row r="25" spans="1:3" x14ac:dyDescent="0.25">
      <c r="A25" s="84"/>
      <c r="B25" s="85"/>
      <c r="C25" s="88"/>
    </row>
    <row r="26" spans="1:3" x14ac:dyDescent="0.25">
      <c r="A26" s="84">
        <v>64215</v>
      </c>
      <c r="B26" s="85">
        <v>148500</v>
      </c>
      <c r="C26" s="88" t="s">
        <v>228</v>
      </c>
    </row>
    <row r="27" spans="1:3" x14ac:dyDescent="0.25">
      <c r="A27" s="84">
        <v>66586</v>
      </c>
      <c r="B27" s="85">
        <v>198000</v>
      </c>
      <c r="C27" s="88" t="s">
        <v>229</v>
      </c>
    </row>
    <row r="28" spans="1:3" x14ac:dyDescent="0.25">
      <c r="A28" s="84"/>
      <c r="B28" s="85"/>
      <c r="C28" s="88"/>
    </row>
    <row r="29" spans="1:3" x14ac:dyDescent="0.25">
      <c r="A29" s="84">
        <v>66586</v>
      </c>
      <c r="B29" s="85">
        <v>198000</v>
      </c>
      <c r="C29" s="88" t="s">
        <v>230</v>
      </c>
    </row>
    <row r="30" spans="1:3" x14ac:dyDescent="0.25">
      <c r="A30" s="84">
        <v>62211</v>
      </c>
      <c r="B30" s="85">
        <v>247500</v>
      </c>
      <c r="C30" s="88" t="s">
        <v>231</v>
      </c>
    </row>
    <row r="31" spans="1:3" x14ac:dyDescent="0.25">
      <c r="A31" s="84"/>
      <c r="B31" s="85"/>
      <c r="C31" s="88"/>
    </row>
    <row r="32" spans="1:3" x14ac:dyDescent="0.25">
      <c r="A32" s="84">
        <v>66586</v>
      </c>
      <c r="B32" s="85">
        <v>198000</v>
      </c>
      <c r="C32" s="88" t="s">
        <v>233</v>
      </c>
    </row>
    <row r="33" spans="1:3" x14ac:dyDescent="0.25">
      <c r="A33" s="84"/>
      <c r="B33" s="85"/>
      <c r="C33" s="88"/>
    </row>
    <row r="34" spans="1:3" x14ac:dyDescent="0.25">
      <c r="A34" s="84">
        <v>66587</v>
      </c>
      <c r="B34" s="85">
        <v>297000</v>
      </c>
      <c r="C34" s="88" t="s">
        <v>235</v>
      </c>
    </row>
    <row r="35" spans="1:3" x14ac:dyDescent="0.25">
      <c r="A35" s="84"/>
      <c r="B35" s="90">
        <f>SUM(B5:B34)</f>
        <v>5746000</v>
      </c>
      <c r="C35" s="84"/>
    </row>
  </sheetData>
  <mergeCells count="1">
    <mergeCell ref="A2:C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27.12.24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2024-09-16T10:40:43Z</cp:lastPrinted>
  <dcterms:created xsi:type="dcterms:W3CDTF">2022-06-10T14:11:52Z</dcterms:created>
  <dcterms:modified xsi:type="dcterms:W3CDTF">2025-06-05T10:38:50Z</dcterms:modified>
</cp:coreProperties>
</file>