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shahi\Downloads\not uploaded shahin\not uploaded shahin\Harinam Gold\"/>
    </mc:Choice>
  </mc:AlternateContent>
  <xr:revisionPtr revIDLastSave="0" documentId="13_ncr:1_{8E717DE4-F4D5-4C31-A2F7-8158005CCC3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74" i="1" l="1"/>
  <c r="R71" i="1"/>
  <c r="U77" i="1"/>
  <c r="R74" i="1"/>
  <c r="R77" i="1"/>
  <c r="G69" i="1"/>
  <c r="K69" i="1" l="1"/>
  <c r="J69" i="1"/>
  <c r="H69" i="1"/>
  <c r="P69" i="1" s="1"/>
  <c r="Q79" i="1" s="1"/>
  <c r="U80" i="1" s="1"/>
  <c r="R68" i="1"/>
  <c r="I69" i="1" l="1"/>
  <c r="Q69" i="1" s="1"/>
  <c r="U71" i="1" s="1"/>
  <c r="E65" i="1"/>
  <c r="G65" i="1" s="1"/>
  <c r="K65" i="1" s="1"/>
  <c r="H65" i="1" l="1"/>
  <c r="P65" i="1" s="1"/>
  <c r="E66" i="1" s="1"/>
  <c r="Q66" i="1" s="1"/>
  <c r="J65" i="1"/>
  <c r="I65" i="1" l="1"/>
  <c r="Q65" i="1" s="1"/>
  <c r="U68" i="1" s="1"/>
  <c r="S81" i="1"/>
  <c r="G61" i="1" l="1"/>
  <c r="K61" i="1" s="1"/>
  <c r="R60" i="1"/>
  <c r="H61" i="1" l="1"/>
  <c r="P61" i="1" s="1"/>
  <c r="E62" i="1" s="1"/>
  <c r="Q62" i="1" s="1"/>
  <c r="J61" i="1"/>
  <c r="G57" i="1"/>
  <c r="H57" i="1" s="1"/>
  <c r="R56" i="1"/>
  <c r="I61" i="1" l="1"/>
  <c r="Q61" i="1" s="1"/>
  <c r="U63" i="1" s="1"/>
  <c r="J57" i="1"/>
  <c r="I57" i="1"/>
  <c r="P57" i="1"/>
  <c r="E58" i="1" s="1"/>
  <c r="Q58" i="1" s="1"/>
  <c r="K57" i="1"/>
  <c r="G53" i="1"/>
  <c r="J53" i="1" s="1"/>
  <c r="R52" i="1"/>
  <c r="G48" i="1"/>
  <c r="J48" i="1" s="1"/>
  <c r="R47" i="1"/>
  <c r="G45" i="1"/>
  <c r="J45" i="1" s="1"/>
  <c r="R44" i="1"/>
  <c r="E31" i="1"/>
  <c r="Q31" i="1" s="1"/>
  <c r="E30" i="1"/>
  <c r="Q30" i="1" s="1"/>
  <c r="O13" i="1"/>
  <c r="O81" i="1" s="1"/>
  <c r="G19" i="1"/>
  <c r="L19" i="1" s="1"/>
  <c r="E18" i="1"/>
  <c r="Q18" i="1" s="1"/>
  <c r="E26" i="1"/>
  <c r="Q26" i="1" s="1"/>
  <c r="E25" i="1"/>
  <c r="Q25" i="1" s="1"/>
  <c r="R41" i="1"/>
  <c r="G42" i="1"/>
  <c r="J42" i="1" s="1"/>
  <c r="Q57" i="1" l="1"/>
  <c r="U59" i="1" s="1"/>
  <c r="U27" i="1"/>
  <c r="U33" i="1"/>
  <c r="H48" i="1"/>
  <c r="P48" i="1" s="1"/>
  <c r="E49" i="1" s="1"/>
  <c r="Q49" i="1" s="1"/>
  <c r="K48" i="1"/>
  <c r="H53" i="1"/>
  <c r="P53" i="1" s="1"/>
  <c r="E54" i="1" s="1"/>
  <c r="Q54" i="1" s="1"/>
  <c r="K45" i="1"/>
  <c r="K53" i="1"/>
  <c r="H45" i="1"/>
  <c r="P45" i="1" s="1"/>
  <c r="E46" i="1" s="1"/>
  <c r="Q46" i="1" s="1"/>
  <c r="J19" i="1"/>
  <c r="K42" i="1"/>
  <c r="L42" i="1"/>
  <c r="H42" i="1"/>
  <c r="P42" i="1" s="1"/>
  <c r="E43" i="1" s="1"/>
  <c r="Q43" i="1" s="1"/>
  <c r="K19" i="1"/>
  <c r="H19" i="1"/>
  <c r="R7" i="1"/>
  <c r="R11" i="1"/>
  <c r="R16" i="1"/>
  <c r="R22" i="1"/>
  <c r="R27" i="1"/>
  <c r="R34" i="1"/>
  <c r="R37" i="1"/>
  <c r="E38" i="1"/>
  <c r="G38" i="1" s="1"/>
  <c r="J39" i="1" s="1"/>
  <c r="I53" i="1" l="1"/>
  <c r="Q53" i="1" s="1"/>
  <c r="I48" i="1"/>
  <c r="Q48" i="1" s="1"/>
  <c r="U52" i="1" s="1"/>
  <c r="I45" i="1"/>
  <c r="Q45" i="1" s="1"/>
  <c r="U47" i="1" s="1"/>
  <c r="I42" i="1"/>
  <c r="Q42" i="1" s="1"/>
  <c r="U44" i="1" s="1"/>
  <c r="M38" i="1"/>
  <c r="J38" i="1"/>
  <c r="J40" i="1" s="1"/>
  <c r="E20" i="1"/>
  <c r="Q20" i="1" s="1"/>
  <c r="P19" i="1"/>
  <c r="I19" i="1"/>
  <c r="N38" i="1"/>
  <c r="K38" i="1"/>
  <c r="H38" i="1"/>
  <c r="P38" i="1" s="1"/>
  <c r="E39" i="1" s="1"/>
  <c r="Q39" i="1" s="1"/>
  <c r="E35" i="1"/>
  <c r="G35" i="1" s="1"/>
  <c r="U56" i="1" l="1"/>
  <c r="Q19" i="1"/>
  <c r="U21" i="1" s="1"/>
  <c r="J35" i="1"/>
  <c r="K35" i="1"/>
  <c r="H35" i="1"/>
  <c r="P35" i="1" s="1"/>
  <c r="E36" i="1" s="1"/>
  <c r="Q36" i="1" s="1"/>
  <c r="L35" i="1"/>
  <c r="L81" i="1" s="1"/>
  <c r="I38" i="1"/>
  <c r="Q38" i="1" s="1"/>
  <c r="U41" i="1" s="1"/>
  <c r="K40" i="1" s="1"/>
  <c r="G8" i="1"/>
  <c r="K8" i="1" s="1"/>
  <c r="I35" i="1" l="1"/>
  <c r="Q35" i="1" s="1"/>
  <c r="U37" i="1" s="1"/>
  <c r="J8" i="1"/>
  <c r="H8" i="1"/>
  <c r="P8" i="1" s="1"/>
  <c r="E9" i="1" s="1"/>
  <c r="Q9" i="1" s="1"/>
  <c r="I8" i="1" l="1"/>
  <c r="Q8" i="1" s="1"/>
  <c r="U11" i="1" s="1"/>
  <c r="G13" i="1"/>
  <c r="H13" i="1" s="1"/>
  <c r="G11" i="1"/>
  <c r="H11" i="1" s="1"/>
  <c r="K13" i="1" l="1"/>
  <c r="J13" i="1"/>
  <c r="K11" i="1"/>
  <c r="J11" i="1"/>
  <c r="N11" i="1"/>
  <c r="N81" i="1" s="1"/>
  <c r="M11" i="1"/>
  <c r="M81" i="1" s="1"/>
  <c r="K81" i="1" l="1"/>
  <c r="M89" i="1" s="1"/>
  <c r="P11" i="1"/>
  <c r="I11" i="1"/>
  <c r="Q11" i="1" l="1"/>
  <c r="P13" i="1"/>
  <c r="I13" i="1"/>
  <c r="P81" i="1" l="1"/>
  <c r="E14" i="1"/>
  <c r="Q14" i="1" s="1"/>
  <c r="Q13" i="1"/>
  <c r="U16" i="1" s="1"/>
  <c r="M92" i="1" l="1"/>
  <c r="U81" i="1"/>
  <c r="Q81" i="1"/>
  <c r="S83" i="1" l="1"/>
  <c r="M90" i="1" s="1"/>
</calcChain>
</file>

<file path=xl/sharedStrings.xml><?xml version="1.0" encoding="utf-8"?>
<sst xmlns="http://schemas.openxmlformats.org/spreadsheetml/2006/main" count="113" uniqueCount="100">
  <si>
    <t>Amount</t>
  </si>
  <si>
    <t>UTR</t>
  </si>
  <si>
    <t>Harinam Gold</t>
  </si>
  <si>
    <t>Boundary wall</t>
  </si>
  <si>
    <t>Painting and finishing</t>
  </si>
  <si>
    <t>Total Paid</t>
  </si>
  <si>
    <t>Balance Payable</t>
  </si>
  <si>
    <t>10% TDS deducted</t>
  </si>
  <si>
    <t>GST</t>
  </si>
  <si>
    <t>Hold</t>
  </si>
  <si>
    <t>Hold Amount</t>
  </si>
  <si>
    <t>Advance / Surplus</t>
  </si>
  <si>
    <t>Debit</t>
  </si>
  <si>
    <t>2, 49</t>
  </si>
  <si>
    <t>GSt</t>
  </si>
  <si>
    <t>GST Release note</t>
  </si>
  <si>
    <t>GST Remaining</t>
  </si>
  <si>
    <t>21-04-2023 NEFT/AXISP00383483041/SPUP23/0222/HARI NAM GOLD198000.00</t>
  </si>
  <si>
    <t>06-05-2023 NEFT/AXISP00388049690/SPUP23/0348/HARINAM GOLD42650.00</t>
  </si>
  <si>
    <t>14-01-2025 NEFT/AXISP00598257722/RIUP24/2933/HARINAM GOLD/UBIN053439148671.00</t>
  </si>
  <si>
    <t>24-04-2023 24-04-2023 NEFT/AXISP00383652904/SPUP23/0234/HARINAM GOLD120658.00</t>
  </si>
  <si>
    <t>20-09-2023 NEFT/AXISP00426115420/RIUP23/1473/HARINAM GOLD/UBIN0534391118544.00</t>
  </si>
  <si>
    <t>30-08-2024 NEFT/AXISP00533718983/RIUP24/1542/HARINAM GOLD/UBIN053439122911.00</t>
  </si>
  <si>
    <t>10-01-2025 NEFT/AXISP00597065261/RIUP24/2888/HARINAM GOLD/UBIN053439139600.00</t>
  </si>
  <si>
    <t>27-02-2023 NEFT/AXISP00365798949/RIUP22/2318/HARINAM GOLD140453.00</t>
  </si>
  <si>
    <t>3 18-09-2023 NEFT/AXISP00425751842/RIUP23/2056/HARINAM GOLD/UBIN053439128406.00</t>
  </si>
  <si>
    <t>22-09-2023 NEFT/AXISP00426750478/RIUP23/1490/HARINAM GOLD/UBIN0534391104012.00</t>
  </si>
  <si>
    <t>29-12-2022 NEFT/AXISP00349704424/RIUP22/1679/HARINAM GOLD1,52,353.00</t>
  </si>
  <si>
    <t>28-02-2023 NEFT/AXISP00349568596/RIUP22/2374/HARINAM GOLD1,38,115/-</t>
  </si>
  <si>
    <t>22-09-2023 NEFT/AXISP00426938285/RIUP23/2052/HARINAM GOLD/UBIN053439129174.00</t>
  </si>
  <si>
    <t>22-09-2023 NEFT/AXISP00426938282/RIUP23/2055/HARINAM GOLD/UBIN053439127933.00</t>
  </si>
  <si>
    <t>26-12-2022 NEFT/AXISP00348781174/RIUP22/1629/HARINAM GOLD99000.00</t>
  </si>
  <si>
    <t>31-12-2022 NEFT/AXISP00350264761/RIUP22/1695/HARINAM GOLD26135.00</t>
  </si>
  <si>
    <t>27-02-2023 NEFT/AXISP00365798948/RIUP22/2317/HARINAM GOLD138115.00</t>
  </si>
  <si>
    <t>22-09-2023 NEFT/AXISP00426938285/RIUP23/2053/HARINAM GOLD/UBIN053439123962.00</t>
  </si>
  <si>
    <t>22-09-2023 NEFT/AXISP00426938283/RIUP23/2054/HARINAM GOLD/UBIN053439127933.00</t>
  </si>
  <si>
    <t>20-09-2023 NEFT/AXISP00426115421/RIUP23/1369/HARINAM GOLD/UBIN0534391210812.00</t>
  </si>
  <si>
    <t>07-11-2023 NEFT/AXISP00441165816/RIUP23/3017/HARINAM GOLD/UBIN0534391345585.00</t>
  </si>
  <si>
    <t>10-09-2024 NEFT/AXISP00538525502/RIUP24/1731/HARINAM GOLD/UBIN053439199000.00</t>
  </si>
  <si>
    <t>22-10-2024 NEFT/AXISP00556849616/RIUP24/2286/HARINAM GOLD/UBIN053439199000.00</t>
  </si>
  <si>
    <t>02-01-2024 NEFT/AXISP00458541613/RIUP23/3968/HARINAM GOLD/UBIN0534391233715.00</t>
  </si>
  <si>
    <t>30-08-2024 NEFT/AXISP00533718984/RIUP24/1544/HARINAM GOLD/UBIN053439150082.00</t>
  </si>
  <si>
    <t>04-06-2024 NEFT/AXISP00506012640/RIUP24/0207/HARINAM GOLD/UBIN0534391203980.00</t>
  </si>
  <si>
    <t>30-08-2024 NEFT/AXISP00533718977/RIUP24/1172/HARINAM GOLD/UBIN053439139060.00</t>
  </si>
  <si>
    <t>26-04-2024 NEFT/AXISP00494052850/RIUP24/0208/HARINAM GOLD/UBIN0534391286512.00</t>
  </si>
  <si>
    <t>30-08-2024 NEFT/AXISP00533718975/RIUP24/1170/HARINAM GOLD/UBIN053439154864.00</t>
  </si>
  <si>
    <t>26-04-2024 NEFT/AXISP00494052851/RIUP24/0209/HARINAM GOLD/UBIN053439163430.00</t>
  </si>
  <si>
    <t>30-08-2024 NEFT/AXISP00533718976/RIUP24/1171/HARINAM GOLD/UBIN053439112146.00</t>
  </si>
  <si>
    <t>03-08-2024 NEFT/AXISP00524511269/RIUP24/1120/HARINAM GOLD/UBIN0534391200000.00</t>
  </si>
  <si>
    <t>10-09-2024 NEFT/AXISP00538525503/RIUP24/1733/HARINAM GOLD/UBIN053439199000.00</t>
  </si>
  <si>
    <t>03-08-2024 NEFT/AXISP00524511283/RIUP24/1353/HARINAM GOLD/UBIN0534391247500.00</t>
  </si>
  <si>
    <t>10-09-2024 NEFT/AXISP00538525517/RIUP24/1732/HARINAM GOLD/UBIN053439149500.00</t>
  </si>
  <si>
    <t>14-01-2025 NEFT/AXISP00598257723/RIUP24/2934/HARINAM GOLD/UBIN053439150533.00</t>
  </si>
  <si>
    <t>14-11-2024 NEFT/AXISP00569462150/RIUP24/2293/HARINAM GOLD/UBIN0534391200000.00</t>
  </si>
  <si>
    <t>10-01-2025 NEFT/AXISP00597065255/RIUP24/2733/HARINAM GOLD/UBIN053439143388.00</t>
  </si>
  <si>
    <t>10-01-2025 NEFT/AXISP00597065262/RIUP24/2889/HARINAM GOLD/UBIN053439126583.00</t>
  </si>
  <si>
    <t>25-03-2025 NEFT/AXISP00638559400/RIUP24/3482/HARINAM GOLD/UBIN053439199000.00</t>
  </si>
  <si>
    <t>15-05-2025 NEFT/AXISP00666018232/RIUP25/0251/HARINAM GOLD/UBIN053439199000.00</t>
  </si>
  <si>
    <t>02-05-2025 NEFT/AXISP00660145763/RIUP25/0191/HARINAM GOLD/UBIN053439199000.00</t>
  </si>
  <si>
    <t>02-05-2025 NEFT/AXISP00660145764/RIUP25/0192/HARINAM GOLD/UBIN053439199000.00</t>
  </si>
  <si>
    <t>Uttar Pradesh</t>
  </si>
  <si>
    <t>Shamli</t>
  </si>
  <si>
    <t>Subcontractor:</t>
  </si>
  <si>
    <t>State:</t>
  </si>
  <si>
    <t>District:</t>
  </si>
  <si>
    <t>Block:</t>
  </si>
  <si>
    <t>Kelashikarpur village - BW work</t>
  </si>
  <si>
    <t>Manakpur Yunishpur village - PH work</t>
  </si>
  <si>
    <t>Bhandaura village - PH work</t>
  </si>
  <si>
    <t>Kelasikarpur village - PH work</t>
  </si>
  <si>
    <t>Thirwa village - PH work</t>
  </si>
  <si>
    <t>Nojal Nojali village - PH work</t>
  </si>
  <si>
    <t>Rampur Kheri village  - RR work</t>
  </si>
  <si>
    <t>Bhandaura village - BW work</t>
  </si>
  <si>
    <t>KASAMPUR village - BW work</t>
  </si>
  <si>
    <t>KASAMPUR village - PH work</t>
  </si>
  <si>
    <t>BHANERAJAT village - PH work</t>
  </si>
  <si>
    <t>BHANERAJAT village - BW work</t>
  </si>
  <si>
    <t>KHERI BAIRAGI village - PH work</t>
  </si>
  <si>
    <t>Manakpur Yunispur village - BW work</t>
  </si>
  <si>
    <t>common village  Pump House  Work</t>
  </si>
  <si>
    <t xml:space="preserve">common village Boundary wall Work </t>
  </si>
  <si>
    <t xml:space="preserve">JANIPUR village Boundary Wall Work </t>
  </si>
  <si>
    <t xml:space="preserve">DAKHORI village Boundary Wall Work 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</si>
  <si>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</si>
  <si>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</si>
  <si>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</si>
  <si>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</si>
  <si>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</si>
  <si>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</si>
  <si>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</si>
  <si>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</si>
  <si>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</si>
  <si>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</si>
  <si>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</si>
  <si>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</si>
  <si>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</si>
  <si>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</si>
  <si>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</si>
  <si>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13 Feburary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</si>
</sst>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 * #,##0.00_ ;_ * \-#,##0.00_ ;_ * &quot;-&quot;??_ ;_ @_ "/>
    <numFmt numFmtId="164" formatCode="_(* #,##0.00_);_(* \(#,##0.00\);_(* &quot;-&quot;??_);_(@_)"/>
    <numFmt numFmtId="165" formatCode="_ * #,##0_ ;_ * \-#,##0_ ;_ * &quot;-&quot;??_ ;_ @_ "/>
    <numFmt numFmtId="166" formatCode="&quot;₹&quot;\ #,##0.00"/>
    <numFmt numFmtId="168" formatCode="[$-F800]dddd\,\ mmmm\ dd\,\ yyyy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b/>
      <sz val="9"/>
      <color rgb="FFFF0000"/>
      <name val="Comic Sans MS"/>
      <family val="4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9"/>
      <color rgb="FFFF0000"/>
      <name val="Comic Sans MS"/>
      <family val="4"/>
    </font>
    <font>
      <sz val="9"/>
      <name val="Comic Sans MS"/>
      <family val="4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79998168889431442"/>
        <bgColor indexed="64"/>
      </patternFill>
    </fill>
  </fills>
  <borders count="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00">
    <xf numFmtId="0" fontId="0" fillId="0" borderId="0" xfId="0"/>
    <xf numFmtId="43" fontId="0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43" fontId="3" fillId="2" borderId="0" xfId="1" applyNumberFormat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14" fontId="0" fillId="2" borderId="0" xfId="0" applyNumberFormat="1" applyFill="1" applyAlignment="1">
      <alignment vertical="center"/>
    </xf>
    <xf numFmtId="0" fontId="0" fillId="0" borderId="0" xfId="0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0" fillId="2" borderId="0" xfId="0" applyFill="1" applyAlignment="1">
      <alignment horizontal="center" vertical="center"/>
    </xf>
    <xf numFmtId="0" fontId="2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0" xfId="1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vertical="center"/>
    </xf>
    <xf numFmtId="0" fontId="6" fillId="2" borderId="2" xfId="0" applyFont="1" applyFill="1" applyBorder="1" applyAlignment="1">
      <alignment vertical="center"/>
    </xf>
    <xf numFmtId="0" fontId="0" fillId="2" borderId="4" xfId="0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0" fontId="3" fillId="2" borderId="5" xfId="1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0" fillId="4" borderId="5" xfId="0" applyFill="1" applyBorder="1" applyAlignment="1">
      <alignment vertical="center"/>
    </xf>
    <xf numFmtId="43" fontId="3" fillId="4" borderId="5" xfId="1" applyNumberFormat="1" applyFont="1" applyFill="1" applyBorder="1" applyAlignment="1">
      <alignment vertical="center"/>
    </xf>
    <xf numFmtId="0" fontId="3" fillId="4" borderId="5" xfId="1" applyNumberFormat="1" applyFont="1" applyFill="1" applyBorder="1" applyAlignment="1">
      <alignment horizontal="center" vertical="center"/>
    </xf>
    <xf numFmtId="9" fontId="3" fillId="4" borderId="5" xfId="1" applyNumberFormat="1" applyFont="1" applyFill="1" applyBorder="1" applyAlignment="1">
      <alignment vertical="center"/>
    </xf>
    <xf numFmtId="0" fontId="5" fillId="4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43" fontId="11" fillId="5" borderId="5" xfId="1" applyNumberFormat="1" applyFont="1" applyFill="1" applyBorder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0" fontId="0" fillId="0" borderId="5" xfId="0" applyBorder="1" applyAlignment="1">
      <alignment vertical="center"/>
    </xf>
    <xf numFmtId="43" fontId="0" fillId="2" borderId="5" xfId="0" applyNumberFormat="1" applyFill="1" applyBorder="1" applyAlignment="1">
      <alignment vertical="center"/>
    </xf>
    <xf numFmtId="165" fontId="3" fillId="3" borderId="5" xfId="1" applyNumberFormat="1" applyFont="1" applyFill="1" applyBorder="1" applyAlignment="1">
      <alignment vertical="center"/>
    </xf>
    <xf numFmtId="0" fontId="7" fillId="0" borderId="5" xfId="0" applyFont="1" applyBorder="1"/>
    <xf numFmtId="0" fontId="8" fillId="2" borderId="5" xfId="0" applyFont="1" applyFill="1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3" fillId="2" borderId="5" xfId="0" quotePrefix="1" applyFont="1" applyFill="1" applyBorder="1" applyAlignment="1">
      <alignment horizontal="center" vertical="center"/>
    </xf>
    <xf numFmtId="43" fontId="3" fillId="2" borderId="5" xfId="1" applyNumberFormat="1" applyFont="1" applyFill="1" applyBorder="1" applyAlignment="1">
      <alignment horizontal="right" vertical="center"/>
    </xf>
    <xf numFmtId="43" fontId="5" fillId="2" borderId="5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0" fontId="3" fillId="2" borderId="6" xfId="1" applyNumberFormat="1" applyFont="1" applyFill="1" applyBorder="1" applyAlignment="1">
      <alignment horizontal="center" vertical="center"/>
    </xf>
    <xf numFmtId="43" fontId="5" fillId="2" borderId="6" xfId="1" applyNumberFormat="1" applyFont="1" applyFill="1" applyBorder="1" applyAlignment="1">
      <alignment vertical="center"/>
    </xf>
    <xf numFmtId="0" fontId="0" fillId="2" borderId="6" xfId="0" applyFill="1" applyBorder="1" applyAlignment="1">
      <alignment vertical="center"/>
    </xf>
    <xf numFmtId="0" fontId="0" fillId="4" borderId="7" xfId="0" applyFill="1" applyBorder="1" applyAlignment="1">
      <alignment vertical="center"/>
    </xf>
    <xf numFmtId="43" fontId="3" fillId="4" borderId="7" xfId="1" applyNumberFormat="1" applyFont="1" applyFill="1" applyBorder="1" applyAlignment="1">
      <alignment vertical="center"/>
    </xf>
    <xf numFmtId="0" fontId="3" fillId="4" borderId="7" xfId="1" applyNumberFormat="1" applyFont="1" applyFill="1" applyBorder="1" applyAlignment="1">
      <alignment horizontal="center" vertical="center"/>
    </xf>
    <xf numFmtId="9" fontId="3" fillId="4" borderId="7" xfId="1" applyNumberFormat="1" applyFont="1" applyFill="1" applyBorder="1" applyAlignment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0" fillId="2" borderId="7" xfId="0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0" fontId="5" fillId="2" borderId="6" xfId="0" applyFont="1" applyFill="1" applyBorder="1" applyAlignment="1">
      <alignment horizontal="center" vertical="center" wrapText="1"/>
    </xf>
    <xf numFmtId="43" fontId="3" fillId="2" borderId="8" xfId="1" applyNumberFormat="1" applyFont="1" applyFill="1" applyBorder="1" applyAlignment="1">
      <alignment vertical="center"/>
    </xf>
    <xf numFmtId="0" fontId="3" fillId="2" borderId="8" xfId="1" applyNumberFormat="1" applyFont="1" applyFill="1" applyBorder="1" applyAlignment="1">
      <alignment horizontal="center" vertical="center"/>
    </xf>
    <xf numFmtId="0" fontId="0" fillId="2" borderId="8" xfId="0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0" fontId="3" fillId="2" borderId="4" xfId="1" applyNumberFormat="1" applyFont="1" applyFill="1" applyBorder="1" applyAlignment="1">
      <alignment horizontal="center" vertical="center"/>
    </xf>
    <xf numFmtId="43" fontId="5" fillId="2" borderId="4" xfId="1" applyNumberFormat="1" applyFont="1" applyFill="1" applyBorder="1" applyAlignment="1">
      <alignment vertical="center"/>
    </xf>
    <xf numFmtId="0" fontId="5" fillId="2" borderId="8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left" vertical="center"/>
    </xf>
    <xf numFmtId="43" fontId="2" fillId="2" borderId="0" xfId="1" applyNumberFormat="1" applyFont="1" applyFill="1" applyBorder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43" fontId="3" fillId="2" borderId="6" xfId="1" applyNumberFormat="1" applyFont="1" applyFill="1" applyBorder="1" applyAlignment="1">
      <alignment horizontal="left" vertical="center"/>
    </xf>
    <xf numFmtId="43" fontId="3" fillId="4" borderId="7" xfId="1" applyNumberFormat="1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left" vertical="center" wrapText="1"/>
    </xf>
    <xf numFmtId="43" fontId="3" fillId="4" borderId="5" xfId="1" applyNumberFormat="1" applyFont="1" applyFill="1" applyBorder="1" applyAlignment="1">
      <alignment horizontal="left" vertical="center"/>
    </xf>
    <xf numFmtId="43" fontId="3" fillId="2" borderId="5" xfId="1" applyNumberFormat="1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left" vertical="center"/>
    </xf>
    <xf numFmtId="0" fontId="3" fillId="2" borderId="8" xfId="0" applyFont="1" applyFill="1" applyBorder="1" applyAlignment="1">
      <alignment horizontal="left" vertical="center"/>
    </xf>
    <xf numFmtId="43" fontId="3" fillId="2" borderId="8" xfId="1" applyNumberFormat="1" applyFont="1" applyFill="1" applyBorder="1" applyAlignment="1">
      <alignment horizontal="left" vertical="center"/>
    </xf>
    <xf numFmtId="43" fontId="3" fillId="2" borderId="4" xfId="1" applyNumberFormat="1" applyFont="1" applyFill="1" applyBorder="1" applyAlignment="1">
      <alignment horizontal="left" vertical="center"/>
    </xf>
    <xf numFmtId="43" fontId="3" fillId="2" borderId="0" xfId="1" applyNumberFormat="1" applyFont="1" applyFill="1" applyBorder="1" applyAlignment="1">
      <alignment horizontal="left" vertical="center"/>
    </xf>
    <xf numFmtId="0" fontId="0" fillId="2" borderId="0" xfId="0" applyFill="1" applyAlignment="1">
      <alignment horizontal="left" vertical="center"/>
    </xf>
    <xf numFmtId="9" fontId="5" fillId="2" borderId="5" xfId="0" applyNumberFormat="1" applyFont="1" applyFill="1" applyBorder="1" applyAlignment="1">
      <alignment horizontal="center" vertical="center" wrapText="1"/>
    </xf>
    <xf numFmtId="43" fontId="12" fillId="2" borderId="5" xfId="1" applyNumberFormat="1" applyFont="1" applyFill="1" applyBorder="1" applyAlignment="1">
      <alignment vertical="center"/>
    </xf>
    <xf numFmtId="0" fontId="3" fillId="2" borderId="8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166" fontId="6" fillId="2" borderId="1" xfId="0" applyNumberFormat="1" applyFont="1" applyFill="1" applyBorder="1" applyAlignment="1">
      <alignment horizontal="right" vertical="center"/>
    </xf>
    <xf numFmtId="166" fontId="6" fillId="2" borderId="2" xfId="0" applyNumberFormat="1" applyFont="1" applyFill="1" applyBorder="1" applyAlignment="1">
      <alignment horizontal="right" vertical="center"/>
    </xf>
    <xf numFmtId="14" fontId="9" fillId="2" borderId="1" xfId="0" applyNumberFormat="1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6" fillId="0" borderId="0" xfId="0" applyFont="1"/>
    <xf numFmtId="0" fontId="6" fillId="2" borderId="4" xfId="0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/>
    </xf>
    <xf numFmtId="164" fontId="13" fillId="2" borderId="4" xfId="1" applyFont="1" applyFill="1" applyBorder="1" applyAlignment="1">
      <alignment horizontal="center" vertical="center"/>
    </xf>
    <xf numFmtId="164" fontId="6" fillId="2" borderId="4" xfId="1" applyFont="1" applyFill="1" applyBorder="1" applyAlignment="1">
      <alignment horizontal="center" vertical="center"/>
    </xf>
    <xf numFmtId="168" fontId="0" fillId="2" borderId="0" xfId="0" applyNumberFormat="1" applyFill="1" applyAlignment="1">
      <alignment vertical="center"/>
    </xf>
    <xf numFmtId="168" fontId="2" fillId="2" borderId="0" xfId="1" applyNumberFormat="1" applyFont="1" applyFill="1" applyBorder="1" applyAlignment="1">
      <alignment vertical="center"/>
    </xf>
    <xf numFmtId="168" fontId="3" fillId="2" borderId="0" xfId="0" applyNumberFormat="1" applyFont="1" applyFill="1" applyAlignment="1">
      <alignment vertical="center"/>
    </xf>
    <xf numFmtId="168" fontId="6" fillId="2" borderId="4" xfId="0" applyNumberFormat="1" applyFont="1" applyFill="1" applyBorder="1" applyAlignment="1">
      <alignment horizontal="center" vertical="center"/>
    </xf>
    <xf numFmtId="168" fontId="3" fillId="2" borderId="6" xfId="1" applyNumberFormat="1" applyFont="1" applyFill="1" applyBorder="1" applyAlignment="1">
      <alignment vertical="center"/>
    </xf>
    <xf numFmtId="168" fontId="3" fillId="4" borderId="7" xfId="1" applyNumberFormat="1" applyFont="1" applyFill="1" applyBorder="1" applyAlignment="1">
      <alignment vertical="center"/>
    </xf>
    <xf numFmtId="168" fontId="3" fillId="2" borderId="5" xfId="0" applyNumberFormat="1" applyFont="1" applyFill="1" applyBorder="1" applyAlignment="1">
      <alignment horizontal="center" vertical="center"/>
    </xf>
    <xf numFmtId="168" fontId="3" fillId="4" borderId="5" xfId="1" applyNumberFormat="1" applyFont="1" applyFill="1" applyBorder="1" applyAlignment="1">
      <alignment vertical="center"/>
    </xf>
    <xf numFmtId="168" fontId="3" fillId="2" borderId="5" xfId="1" applyNumberFormat="1" applyFont="1" applyFill="1" applyBorder="1" applyAlignment="1">
      <alignment vertical="center"/>
    </xf>
    <xf numFmtId="168" fontId="3" fillId="2" borderId="8" xfId="1" applyNumberFormat="1" applyFont="1" applyFill="1" applyBorder="1" applyAlignment="1">
      <alignment vertical="center"/>
    </xf>
    <xf numFmtId="168" fontId="3" fillId="2" borderId="4" xfId="1" applyNumberFormat="1" applyFont="1" applyFill="1" applyBorder="1" applyAlignment="1">
      <alignment vertical="center"/>
    </xf>
    <xf numFmtId="168" fontId="3" fillId="2" borderId="0" xfId="1" applyNumberFormat="1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92"/>
  <sheetViews>
    <sheetView tabSelected="1" zoomScaleNormal="100" workbookViewId="0">
      <pane ySplit="5" topLeftCell="A6" activePane="bottomLeft" state="frozen"/>
      <selection pane="bottomLeft" activeCell="C29" sqref="C29"/>
    </sheetView>
  </sheetViews>
  <sheetFormatPr defaultColWidth="9" defaultRowHeight="24.95" customHeight="1" x14ac:dyDescent="0.25"/>
  <cols>
    <col min="1" max="1" width="9" style="4"/>
    <col min="2" max="2" width="39.5703125" style="70" customWidth="1"/>
    <col min="3" max="3" width="15.85546875" style="88" bestFit="1" customWidth="1"/>
    <col min="4" max="4" width="11.5703125" style="9" bestFit="1" customWidth="1"/>
    <col min="5" max="5" width="13.28515625" style="4" bestFit="1" customWidth="1"/>
    <col min="6" max="7" width="13.28515625" style="4" customWidth="1"/>
    <col min="8" max="8" width="14.7109375" style="1" customWidth="1"/>
    <col min="9" max="9" width="12.85546875" style="1" bestFit="1" customWidth="1"/>
    <col min="10" max="10" width="12" style="4" bestFit="1" customWidth="1"/>
    <col min="11" max="12" width="14.5703125" style="4" customWidth="1"/>
    <col min="13" max="13" width="15" style="4" bestFit="1" customWidth="1"/>
    <col min="14" max="14" width="14" style="4" bestFit="1" customWidth="1"/>
    <col min="15" max="17" width="14.85546875" style="4" customWidth="1"/>
    <col min="18" max="18" width="10.42578125" style="4" bestFit="1" customWidth="1"/>
    <col min="19" max="19" width="19.7109375" style="4" bestFit="1" customWidth="1"/>
    <col min="20" max="20" width="88.85546875" style="4" bestFit="1" customWidth="1"/>
    <col min="21" max="21" width="17.42578125" style="4" bestFit="1" customWidth="1"/>
    <col min="22" max="16384" width="9" style="4"/>
  </cols>
  <sheetData>
    <row r="1" spans="1:21" ht="24.95" customHeight="1" x14ac:dyDescent="0.25">
      <c r="A1" s="82" t="s">
        <v>62</v>
      </c>
      <c r="B1" s="57" t="s">
        <v>2</v>
      </c>
      <c r="E1" s="6"/>
      <c r="F1" s="6"/>
      <c r="G1" s="6"/>
    </row>
    <row r="2" spans="1:21" ht="24.95" customHeight="1" x14ac:dyDescent="0.25">
      <c r="A2" s="82" t="s">
        <v>63</v>
      </c>
      <c r="B2" s="58" t="s">
        <v>60</v>
      </c>
      <c r="C2" s="89"/>
      <c r="D2" s="10" t="s">
        <v>2</v>
      </c>
      <c r="G2" s="2"/>
      <c r="I2" s="2" t="s">
        <v>3</v>
      </c>
      <c r="J2" s="7"/>
      <c r="K2" s="7"/>
      <c r="L2" s="7"/>
      <c r="M2" s="7"/>
      <c r="N2" s="7"/>
      <c r="O2" s="7"/>
      <c r="P2" s="7"/>
      <c r="Q2" s="7"/>
      <c r="R2" s="7"/>
    </row>
    <row r="3" spans="1:21" ht="24.95" customHeight="1" x14ac:dyDescent="0.25">
      <c r="A3" s="82" t="s">
        <v>64</v>
      </c>
      <c r="B3" s="58" t="s">
        <v>61</v>
      </c>
      <c r="C3" s="89"/>
      <c r="D3" s="10"/>
      <c r="G3" s="2"/>
      <c r="I3" s="2"/>
      <c r="J3" s="7"/>
      <c r="K3" s="7"/>
      <c r="L3" s="7"/>
      <c r="M3" s="7"/>
      <c r="N3" s="7"/>
      <c r="O3" s="7"/>
      <c r="P3" s="7"/>
      <c r="Q3" s="7"/>
      <c r="R3" s="7"/>
    </row>
    <row r="4" spans="1:21" ht="24.95" customHeight="1" thickBot="1" x14ac:dyDescent="0.3">
      <c r="A4" s="82" t="s">
        <v>65</v>
      </c>
      <c r="B4" s="59" t="s">
        <v>61</v>
      </c>
      <c r="C4" s="90"/>
      <c r="D4" s="11"/>
      <c r="E4" s="7"/>
      <c r="F4" s="7"/>
      <c r="G4" s="7"/>
      <c r="H4" s="3"/>
      <c r="I4" s="3"/>
      <c r="J4" s="7"/>
      <c r="K4" s="7"/>
      <c r="L4" s="7"/>
      <c r="M4" s="7"/>
      <c r="N4" s="7"/>
      <c r="R4" s="5"/>
      <c r="S4" s="8"/>
      <c r="T4" s="8"/>
    </row>
    <row r="5" spans="1:21" ht="24.95" customHeight="1" x14ac:dyDescent="0.25">
      <c r="A5" s="83" t="s">
        <v>84</v>
      </c>
      <c r="B5" s="84" t="s">
        <v>85</v>
      </c>
      <c r="C5" s="91" t="s">
        <v>86</v>
      </c>
      <c r="D5" s="85" t="s">
        <v>87</v>
      </c>
      <c r="E5" s="84" t="s">
        <v>88</v>
      </c>
      <c r="F5" s="84" t="s">
        <v>89</v>
      </c>
      <c r="G5" s="85" t="s">
        <v>90</v>
      </c>
      <c r="H5" s="86" t="s">
        <v>91</v>
      </c>
      <c r="I5" s="87" t="s">
        <v>0</v>
      </c>
      <c r="J5" s="84" t="s">
        <v>92</v>
      </c>
      <c r="K5" s="84" t="s">
        <v>93</v>
      </c>
      <c r="L5" s="16" t="s">
        <v>4</v>
      </c>
      <c r="M5" s="84" t="s">
        <v>94</v>
      </c>
      <c r="N5" s="84" t="s">
        <v>95</v>
      </c>
      <c r="O5" s="16" t="s">
        <v>9</v>
      </c>
      <c r="P5" s="16" t="s">
        <v>96</v>
      </c>
      <c r="Q5" s="16" t="s">
        <v>97</v>
      </c>
      <c r="R5" s="16"/>
      <c r="S5" s="84" t="s">
        <v>98</v>
      </c>
      <c r="T5" s="84" t="s">
        <v>1</v>
      </c>
      <c r="U5" s="15"/>
    </row>
    <row r="6" spans="1:21" ht="24.95" customHeight="1" thickBot="1" x14ac:dyDescent="0.3">
      <c r="A6" s="41"/>
      <c r="B6" s="60"/>
      <c r="C6" s="92"/>
      <c r="D6" s="39"/>
      <c r="E6" s="38"/>
      <c r="F6" s="38"/>
      <c r="G6" s="38"/>
      <c r="H6" s="48">
        <v>0.18</v>
      </c>
      <c r="I6" s="38"/>
      <c r="J6" s="48">
        <v>0.01</v>
      </c>
      <c r="K6" s="48">
        <v>0.05</v>
      </c>
      <c r="L6" s="48">
        <v>0.05</v>
      </c>
      <c r="M6" s="48">
        <v>0.1</v>
      </c>
      <c r="N6" s="48">
        <v>0.1</v>
      </c>
      <c r="O6" s="48"/>
      <c r="P6" s="48">
        <v>0.18</v>
      </c>
      <c r="Q6" s="38"/>
      <c r="R6" s="49"/>
      <c r="S6" s="38"/>
      <c r="T6" s="38"/>
      <c r="U6" s="41"/>
    </row>
    <row r="7" spans="1:21" ht="24.95" customHeight="1" x14ac:dyDescent="0.25">
      <c r="A7" s="42"/>
      <c r="B7" s="61"/>
      <c r="C7" s="93"/>
      <c r="D7" s="44"/>
      <c r="E7" s="43"/>
      <c r="F7" s="43"/>
      <c r="G7" s="43"/>
      <c r="H7" s="45"/>
      <c r="I7" s="43"/>
      <c r="J7" s="45"/>
      <c r="K7" s="45"/>
      <c r="L7" s="45"/>
      <c r="M7" s="45"/>
      <c r="N7" s="45"/>
      <c r="O7" s="45"/>
      <c r="P7" s="45"/>
      <c r="Q7" s="43"/>
      <c r="R7" s="46">
        <f>A8</f>
        <v>56723</v>
      </c>
      <c r="S7" s="43"/>
      <c r="T7" s="43"/>
      <c r="U7" s="47"/>
    </row>
    <row r="8" spans="1:21" ht="24.95" customHeight="1" x14ac:dyDescent="0.25">
      <c r="A8" s="17">
        <v>56723</v>
      </c>
      <c r="B8" s="62" t="s">
        <v>66</v>
      </c>
      <c r="C8" s="94">
        <v>45029</v>
      </c>
      <c r="D8" s="26">
        <v>3</v>
      </c>
      <c r="E8" s="18">
        <v>318080</v>
      </c>
      <c r="F8" s="18">
        <v>47687</v>
      </c>
      <c r="G8" s="18">
        <f>ROUND(E8-F8,)</f>
        <v>270393</v>
      </c>
      <c r="H8" s="18">
        <f>ROUND(G8*$H$6,0)</f>
        <v>48671</v>
      </c>
      <c r="I8" s="18">
        <f>G8+H8</f>
        <v>319064</v>
      </c>
      <c r="J8" s="18">
        <f>ROUND(G8*$J$6,)</f>
        <v>2704</v>
      </c>
      <c r="K8" s="18">
        <f>(G8*10%)</f>
        <v>27039.300000000003</v>
      </c>
      <c r="L8" s="18"/>
      <c r="M8" s="18">
        <v>0</v>
      </c>
      <c r="N8" s="18">
        <v>0</v>
      </c>
      <c r="O8" s="18"/>
      <c r="P8" s="27">
        <f>H8</f>
        <v>48671</v>
      </c>
      <c r="Q8" s="28">
        <f>ROUND(I8-SUM(J8:P8),0)</f>
        <v>240650</v>
      </c>
      <c r="R8" s="20"/>
      <c r="S8" s="28">
        <v>198000</v>
      </c>
      <c r="T8" s="29" t="s">
        <v>17</v>
      </c>
      <c r="U8" s="17"/>
    </row>
    <row r="9" spans="1:21" ht="24.95" customHeight="1" x14ac:dyDescent="0.25">
      <c r="A9" s="17"/>
      <c r="B9" s="62"/>
      <c r="C9" s="94"/>
      <c r="D9" s="26">
        <v>3</v>
      </c>
      <c r="E9" s="18">
        <f>P8</f>
        <v>48671</v>
      </c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27">
        <f>E9</f>
        <v>48671</v>
      </c>
      <c r="R9" s="20"/>
      <c r="S9" s="28">
        <v>42650</v>
      </c>
      <c r="T9" s="29" t="s">
        <v>18</v>
      </c>
      <c r="U9" s="17"/>
    </row>
    <row r="10" spans="1:21" ht="24.95" customHeight="1" x14ac:dyDescent="0.25">
      <c r="A10" s="17"/>
      <c r="B10" s="62"/>
      <c r="C10" s="94"/>
      <c r="D10" s="26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27"/>
      <c r="R10" s="20"/>
      <c r="S10" s="28">
        <v>48671</v>
      </c>
      <c r="T10" s="29" t="s">
        <v>19</v>
      </c>
      <c r="U10" s="17"/>
    </row>
    <row r="11" spans="1:21" ht="24.95" customHeight="1" x14ac:dyDescent="0.25">
      <c r="A11" s="21"/>
      <c r="B11" s="63"/>
      <c r="C11" s="95"/>
      <c r="D11" s="23"/>
      <c r="E11" s="22"/>
      <c r="F11" s="22"/>
      <c r="G11" s="22">
        <f t="shared" ref="G11:G13" si="0">ROUND(E11-F11,)</f>
        <v>0</v>
      </c>
      <c r="H11" s="24">
        <f t="shared" ref="H11:H13" si="1">ROUND(G11*$H$6,0)</f>
        <v>0</v>
      </c>
      <c r="I11" s="22">
        <f t="shared" ref="I11:I13" si="2">G11+H11</f>
        <v>0</v>
      </c>
      <c r="J11" s="24">
        <f t="shared" ref="J11:J13" si="3">ROUND(G11*$J$6,)</f>
        <v>0</v>
      </c>
      <c r="K11" s="24">
        <f t="shared" ref="K11:K13" si="4">ROUND(G11*$K$6,)</f>
        <v>0</v>
      </c>
      <c r="L11" s="24"/>
      <c r="M11" s="24">
        <f t="shared" ref="M11" si="5">ROUND(G11*$M$6,)</f>
        <v>0</v>
      </c>
      <c r="N11" s="24">
        <f t="shared" ref="N11" si="6">ROUND(G11*$N$6,)</f>
        <v>0</v>
      </c>
      <c r="O11" s="24"/>
      <c r="P11" s="24">
        <f t="shared" ref="P11:P13" si="7">H11</f>
        <v>0</v>
      </c>
      <c r="Q11" s="22">
        <f t="shared" ref="Q11" si="8">ROUND(I11-SUM(J11:P11),0)</f>
        <v>0</v>
      </c>
      <c r="R11" s="25">
        <f>A12</f>
        <v>56722</v>
      </c>
      <c r="S11" s="22"/>
      <c r="T11" s="22"/>
      <c r="U11" s="30">
        <f>SUM(Q8:Q10)-SUM(S8:S10)</f>
        <v>0</v>
      </c>
    </row>
    <row r="12" spans="1:21" ht="24.95" customHeight="1" x14ac:dyDescent="0.25">
      <c r="A12" s="17">
        <v>56722</v>
      </c>
      <c r="B12" s="64" t="s">
        <v>67</v>
      </c>
      <c r="C12" s="96">
        <v>45029</v>
      </c>
      <c r="D12" s="19">
        <v>2</v>
      </c>
      <c r="E12" s="18">
        <v>185000</v>
      </c>
      <c r="F12" s="18">
        <v>49429.07</v>
      </c>
      <c r="G12" s="18">
        <v>135571</v>
      </c>
      <c r="H12" s="18">
        <v>24403</v>
      </c>
      <c r="I12" s="18">
        <v>159974</v>
      </c>
      <c r="J12" s="18">
        <v>1356</v>
      </c>
      <c r="K12" s="18">
        <v>6778.55</v>
      </c>
      <c r="L12" s="18">
        <v>6778.55</v>
      </c>
      <c r="M12" s="18">
        <v>0</v>
      </c>
      <c r="N12" s="18">
        <v>0</v>
      </c>
      <c r="O12" s="18"/>
      <c r="P12" s="27">
        <v>24403</v>
      </c>
      <c r="Q12" s="28">
        <v>120658</v>
      </c>
      <c r="R12" s="20"/>
      <c r="S12" s="28">
        <v>120658</v>
      </c>
      <c r="T12" s="29" t="s">
        <v>20</v>
      </c>
      <c r="U12" s="17"/>
    </row>
    <row r="13" spans="1:21" ht="24.95" customHeight="1" x14ac:dyDescent="0.25">
      <c r="A13" s="17"/>
      <c r="B13" s="64"/>
      <c r="C13" s="96">
        <v>45128</v>
      </c>
      <c r="D13" s="19">
        <v>49</v>
      </c>
      <c r="E13" s="18">
        <v>149194</v>
      </c>
      <c r="F13" s="18"/>
      <c r="G13" s="18">
        <f t="shared" si="0"/>
        <v>149194</v>
      </c>
      <c r="H13" s="18">
        <f t="shared" si="1"/>
        <v>26855</v>
      </c>
      <c r="I13" s="18">
        <f t="shared" si="2"/>
        <v>176049</v>
      </c>
      <c r="J13" s="18">
        <f t="shared" si="3"/>
        <v>1492</v>
      </c>
      <c r="K13" s="18">
        <f t="shared" si="4"/>
        <v>7460</v>
      </c>
      <c r="L13" s="18"/>
      <c r="M13" s="18"/>
      <c r="N13" s="18"/>
      <c r="O13" s="18">
        <f>6779+14919</f>
        <v>21698</v>
      </c>
      <c r="P13" s="27">
        <f t="shared" si="7"/>
        <v>26855</v>
      </c>
      <c r="Q13" s="28">
        <f>ROUND(I13-SUM(J13:P13),0)</f>
        <v>118544</v>
      </c>
      <c r="R13" s="20"/>
      <c r="S13" s="28">
        <v>118544</v>
      </c>
      <c r="T13" s="29" t="s">
        <v>21</v>
      </c>
      <c r="U13" s="17"/>
    </row>
    <row r="14" spans="1:21" ht="24.95" customHeight="1" x14ac:dyDescent="0.25">
      <c r="A14" s="17"/>
      <c r="B14" s="64"/>
      <c r="C14" s="96"/>
      <c r="D14" s="19" t="s">
        <v>13</v>
      </c>
      <c r="E14" s="18">
        <f>P12+P13</f>
        <v>51258</v>
      </c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27">
        <f>E14</f>
        <v>51258</v>
      </c>
      <c r="R14" s="20"/>
      <c r="S14" s="18">
        <v>22911</v>
      </c>
      <c r="T14" s="29" t="s">
        <v>22</v>
      </c>
      <c r="U14" s="17"/>
    </row>
    <row r="15" spans="1:21" ht="24.95" customHeight="1" x14ac:dyDescent="0.25">
      <c r="A15" s="17"/>
      <c r="B15" s="64"/>
      <c r="C15" s="96"/>
      <c r="D15" s="19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27"/>
      <c r="R15" s="20"/>
      <c r="S15" s="18">
        <v>39600</v>
      </c>
      <c r="T15" s="29" t="s">
        <v>23</v>
      </c>
      <c r="U15" s="17"/>
    </row>
    <row r="16" spans="1:21" ht="24.95" customHeight="1" x14ac:dyDescent="0.25">
      <c r="A16" s="21"/>
      <c r="B16" s="63"/>
      <c r="C16" s="95"/>
      <c r="D16" s="23"/>
      <c r="E16" s="22"/>
      <c r="F16" s="22"/>
      <c r="G16" s="22"/>
      <c r="H16" s="24"/>
      <c r="I16" s="22"/>
      <c r="J16" s="24"/>
      <c r="K16" s="24"/>
      <c r="L16" s="24"/>
      <c r="M16" s="24"/>
      <c r="N16" s="24"/>
      <c r="O16" s="24"/>
      <c r="P16" s="24"/>
      <c r="Q16" s="22"/>
      <c r="R16" s="25">
        <f>A17</f>
        <v>55201</v>
      </c>
      <c r="S16" s="22"/>
      <c r="T16" s="22"/>
      <c r="U16" s="30">
        <f>SUM(Q12:Q15)-SUM(S12:S15)</f>
        <v>-11253</v>
      </c>
    </row>
    <row r="17" spans="1:21" ht="24.95" customHeight="1" x14ac:dyDescent="0.25">
      <c r="A17" s="17">
        <v>55201</v>
      </c>
      <c r="B17" s="64" t="s">
        <v>68</v>
      </c>
      <c r="C17" s="96">
        <v>44900</v>
      </c>
      <c r="D17" s="19">
        <v>98</v>
      </c>
      <c r="E17" s="18">
        <v>228600</v>
      </c>
      <c r="F17" s="18">
        <v>70787</v>
      </c>
      <c r="G17" s="18">
        <v>157813</v>
      </c>
      <c r="H17" s="18">
        <v>28406</v>
      </c>
      <c r="I17" s="18">
        <v>186219</v>
      </c>
      <c r="J17" s="18">
        <v>1578.13</v>
      </c>
      <c r="K17" s="18">
        <v>7890.6500000000005</v>
      </c>
      <c r="L17" s="18">
        <v>7890.6500000000005</v>
      </c>
      <c r="M17" s="18"/>
      <c r="N17" s="18"/>
      <c r="O17" s="18"/>
      <c r="P17" s="27">
        <v>28406</v>
      </c>
      <c r="Q17" s="31">
        <v>140453.57</v>
      </c>
      <c r="R17" s="20"/>
      <c r="S17" s="28">
        <v>140453</v>
      </c>
      <c r="T17" s="29" t="s">
        <v>24</v>
      </c>
      <c r="U17" s="17"/>
    </row>
    <row r="18" spans="1:21" ht="24.95" customHeight="1" x14ac:dyDescent="0.25">
      <c r="A18" s="17"/>
      <c r="B18" s="64" t="s">
        <v>8</v>
      </c>
      <c r="C18" s="96"/>
      <c r="D18" s="19">
        <v>98</v>
      </c>
      <c r="E18" s="18">
        <f>H17</f>
        <v>28406</v>
      </c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27">
        <f>E18</f>
        <v>28406</v>
      </c>
      <c r="R18" s="20"/>
      <c r="S18" s="28">
        <v>28406</v>
      </c>
      <c r="T18" s="29" t="s">
        <v>25</v>
      </c>
      <c r="U18" s="17"/>
    </row>
    <row r="19" spans="1:21" ht="24.95" customHeight="1" x14ac:dyDescent="0.25">
      <c r="A19" s="17"/>
      <c r="B19" s="64"/>
      <c r="C19" s="96"/>
      <c r="D19" s="19">
        <v>50</v>
      </c>
      <c r="E19" s="18">
        <v>152400</v>
      </c>
      <c r="F19" s="18">
        <v>19075</v>
      </c>
      <c r="G19" s="18">
        <f>E19-F19</f>
        <v>133325</v>
      </c>
      <c r="H19" s="18">
        <f>G19*18%</f>
        <v>23998.5</v>
      </c>
      <c r="I19" s="18">
        <f>G19+H19</f>
        <v>157323.5</v>
      </c>
      <c r="J19" s="18">
        <f>G19*1%</f>
        <v>1333.25</v>
      </c>
      <c r="K19" s="18">
        <f>G19*5%</f>
        <v>6666.25</v>
      </c>
      <c r="L19" s="18">
        <f>G19*10%</f>
        <v>13332.5</v>
      </c>
      <c r="M19" s="18"/>
      <c r="N19" s="18"/>
      <c r="O19" s="18">
        <v>7981</v>
      </c>
      <c r="P19" s="27">
        <f>H19</f>
        <v>23998.5</v>
      </c>
      <c r="Q19" s="31">
        <f>I19-J19-K19-L19-P19-O19</f>
        <v>104012</v>
      </c>
      <c r="R19" s="33"/>
      <c r="S19" s="28">
        <v>104012</v>
      </c>
      <c r="T19" s="29" t="s">
        <v>26</v>
      </c>
      <c r="U19" s="17"/>
    </row>
    <row r="20" spans="1:21" ht="24.95" customHeight="1" x14ac:dyDescent="0.15">
      <c r="A20" s="17"/>
      <c r="B20" s="64" t="s">
        <v>8</v>
      </c>
      <c r="C20" s="96"/>
      <c r="D20" s="19">
        <v>50</v>
      </c>
      <c r="E20" s="18">
        <f>H19</f>
        <v>23998.5</v>
      </c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27">
        <f>E20</f>
        <v>23998.5</v>
      </c>
      <c r="R20" s="20"/>
      <c r="S20" s="18"/>
      <c r="T20" s="32"/>
      <c r="U20" s="17"/>
    </row>
    <row r="21" spans="1:21" ht="24.95" customHeight="1" x14ac:dyDescent="0.15">
      <c r="A21" s="17"/>
      <c r="B21" s="64"/>
      <c r="C21" s="96"/>
      <c r="D21" s="19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20"/>
      <c r="S21" s="18"/>
      <c r="T21" s="32"/>
      <c r="U21" s="30">
        <f>SUM(Q17:Q21)-SUM(S17:S21)</f>
        <v>23999.070000000007</v>
      </c>
    </row>
    <row r="22" spans="1:21" ht="24.95" customHeight="1" x14ac:dyDescent="0.25">
      <c r="A22" s="21"/>
      <c r="B22" s="63"/>
      <c r="C22" s="95"/>
      <c r="D22" s="23"/>
      <c r="E22" s="22"/>
      <c r="F22" s="22"/>
      <c r="G22" s="22"/>
      <c r="H22" s="24"/>
      <c r="I22" s="22"/>
      <c r="J22" s="24"/>
      <c r="K22" s="24"/>
      <c r="L22" s="24"/>
      <c r="M22" s="24"/>
      <c r="N22" s="24"/>
      <c r="O22" s="24"/>
      <c r="P22" s="24"/>
      <c r="Q22" s="22"/>
      <c r="R22" s="25">
        <f>A23</f>
        <v>54131</v>
      </c>
      <c r="S22" s="22"/>
      <c r="T22" s="22"/>
      <c r="U22" s="17"/>
    </row>
    <row r="23" spans="1:21" ht="24.95" customHeight="1" x14ac:dyDescent="0.25">
      <c r="A23" s="17">
        <v>54131</v>
      </c>
      <c r="B23" s="64" t="s">
        <v>69</v>
      </c>
      <c r="C23" s="96">
        <v>44915</v>
      </c>
      <c r="D23" s="19">
        <v>94</v>
      </c>
      <c r="E23" s="18">
        <v>222000</v>
      </c>
      <c r="F23" s="18">
        <v>59921</v>
      </c>
      <c r="G23" s="18">
        <v>162079</v>
      </c>
      <c r="H23" s="18">
        <v>29174</v>
      </c>
      <c r="I23" s="18">
        <v>191253</v>
      </c>
      <c r="J23" s="18">
        <v>1621</v>
      </c>
      <c r="K23" s="18">
        <v>8104</v>
      </c>
      <c r="L23" s="18"/>
      <c r="M23" s="18"/>
      <c r="N23" s="18"/>
      <c r="O23" s="18"/>
      <c r="P23" s="27">
        <v>29174</v>
      </c>
      <c r="Q23" s="28">
        <v>152354</v>
      </c>
      <c r="R23" s="20"/>
      <c r="S23" s="28">
        <v>152353</v>
      </c>
      <c r="T23" s="29" t="s">
        <v>27</v>
      </c>
      <c r="U23" s="17"/>
    </row>
    <row r="24" spans="1:21" ht="24.95" customHeight="1" x14ac:dyDescent="0.25">
      <c r="A24" s="17"/>
      <c r="B24" s="64">
        <v>0.4</v>
      </c>
      <c r="C24" s="96">
        <v>44970</v>
      </c>
      <c r="D24" s="19">
        <v>96</v>
      </c>
      <c r="E24" s="18">
        <v>159000</v>
      </c>
      <c r="F24" s="18">
        <v>3815</v>
      </c>
      <c r="G24" s="18">
        <v>155185</v>
      </c>
      <c r="H24" s="18">
        <v>27933</v>
      </c>
      <c r="I24" s="18">
        <v>183118</v>
      </c>
      <c r="J24" s="18">
        <v>1552</v>
      </c>
      <c r="K24" s="18">
        <v>7759</v>
      </c>
      <c r="L24" s="18">
        <v>7759.25</v>
      </c>
      <c r="M24" s="18"/>
      <c r="N24" s="18"/>
      <c r="O24" s="18"/>
      <c r="P24" s="27">
        <v>27933</v>
      </c>
      <c r="Q24" s="28">
        <v>138115</v>
      </c>
      <c r="R24" s="20"/>
      <c r="S24" s="28">
        <v>138115</v>
      </c>
      <c r="T24" s="29" t="s">
        <v>28</v>
      </c>
      <c r="U24" s="17"/>
    </row>
    <row r="25" spans="1:21" ht="24.95" customHeight="1" x14ac:dyDescent="0.25">
      <c r="A25" s="17"/>
      <c r="B25" s="64" t="s">
        <v>8</v>
      </c>
      <c r="C25" s="96"/>
      <c r="D25" s="19">
        <v>94</v>
      </c>
      <c r="E25" s="18">
        <f>H23</f>
        <v>29174</v>
      </c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27">
        <f>E25</f>
        <v>29174</v>
      </c>
      <c r="R25" s="20"/>
      <c r="S25" s="28">
        <v>29174</v>
      </c>
      <c r="T25" s="34" t="s">
        <v>29</v>
      </c>
      <c r="U25" s="17"/>
    </row>
    <row r="26" spans="1:21" ht="24.95" customHeight="1" x14ac:dyDescent="0.25">
      <c r="A26" s="17"/>
      <c r="B26" s="64" t="s">
        <v>8</v>
      </c>
      <c r="C26" s="96"/>
      <c r="D26" s="19">
        <v>96</v>
      </c>
      <c r="E26" s="18">
        <f>H24</f>
        <v>27933</v>
      </c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27">
        <f>E26</f>
        <v>27933</v>
      </c>
      <c r="R26" s="20"/>
      <c r="S26" s="28">
        <v>27933</v>
      </c>
      <c r="T26" s="29" t="s">
        <v>30</v>
      </c>
      <c r="U26" s="17"/>
    </row>
    <row r="27" spans="1:21" ht="24.95" customHeight="1" x14ac:dyDescent="0.25">
      <c r="A27" s="21"/>
      <c r="B27" s="63"/>
      <c r="C27" s="95"/>
      <c r="D27" s="23"/>
      <c r="E27" s="22"/>
      <c r="F27" s="22"/>
      <c r="G27" s="22"/>
      <c r="H27" s="24"/>
      <c r="I27" s="22"/>
      <c r="J27" s="24"/>
      <c r="K27" s="24"/>
      <c r="L27" s="24"/>
      <c r="M27" s="24"/>
      <c r="N27" s="24"/>
      <c r="O27" s="24"/>
      <c r="P27" s="24"/>
      <c r="Q27" s="22"/>
      <c r="R27" s="25">
        <f>A28</f>
        <v>54130</v>
      </c>
      <c r="S27" s="22"/>
      <c r="T27" s="22"/>
      <c r="U27" s="30">
        <f>SUM(Q23:Q26)-SUM(S23:S26)</f>
        <v>1</v>
      </c>
    </row>
    <row r="28" spans="1:21" ht="24.95" customHeight="1" x14ac:dyDescent="0.25">
      <c r="A28" s="17">
        <v>54130</v>
      </c>
      <c r="B28" s="64" t="s">
        <v>70</v>
      </c>
      <c r="C28" s="96">
        <v>44915</v>
      </c>
      <c r="D28" s="19">
        <v>95</v>
      </c>
      <c r="E28" s="18">
        <v>222000</v>
      </c>
      <c r="F28" s="18">
        <v>88878</v>
      </c>
      <c r="G28" s="18">
        <v>133122</v>
      </c>
      <c r="H28" s="18">
        <v>23962</v>
      </c>
      <c r="I28" s="18">
        <v>157084</v>
      </c>
      <c r="J28" s="18">
        <v>1331.22</v>
      </c>
      <c r="K28" s="18">
        <v>6656.1</v>
      </c>
      <c r="L28" s="18"/>
      <c r="M28" s="18"/>
      <c r="N28" s="18"/>
      <c r="O28" s="18"/>
      <c r="P28" s="27">
        <v>23962</v>
      </c>
      <c r="Q28" s="28">
        <v>125135</v>
      </c>
      <c r="R28" s="20"/>
      <c r="S28" s="28">
        <v>99000</v>
      </c>
      <c r="T28" s="29" t="s">
        <v>31</v>
      </c>
      <c r="U28" s="17"/>
    </row>
    <row r="29" spans="1:21" ht="24.95" customHeight="1" x14ac:dyDescent="0.25">
      <c r="A29" s="17"/>
      <c r="B29" s="64"/>
      <c r="C29" s="96" t="s">
        <v>99</v>
      </c>
      <c r="D29" s="19">
        <v>97</v>
      </c>
      <c r="E29" s="18">
        <v>159000</v>
      </c>
      <c r="F29" s="18">
        <v>3815</v>
      </c>
      <c r="G29" s="18">
        <v>155185</v>
      </c>
      <c r="H29" s="18">
        <v>27933</v>
      </c>
      <c r="I29" s="18">
        <v>183118</v>
      </c>
      <c r="J29" s="18">
        <v>1551.8500000000001</v>
      </c>
      <c r="K29" s="18">
        <v>15518.5</v>
      </c>
      <c r="L29" s="18"/>
      <c r="M29" s="18"/>
      <c r="N29" s="18"/>
      <c r="O29" s="18"/>
      <c r="P29" s="27">
        <v>27933</v>
      </c>
      <c r="Q29" s="28">
        <v>138115</v>
      </c>
      <c r="R29" s="20"/>
      <c r="S29" s="28">
        <v>26135</v>
      </c>
      <c r="T29" s="29" t="s">
        <v>32</v>
      </c>
      <c r="U29" s="17"/>
    </row>
    <row r="30" spans="1:21" ht="24.95" customHeight="1" x14ac:dyDescent="0.25">
      <c r="A30" s="17"/>
      <c r="B30" s="64" t="s">
        <v>8</v>
      </c>
      <c r="C30" s="96"/>
      <c r="D30" s="19">
        <v>95</v>
      </c>
      <c r="E30" s="18">
        <f>H28</f>
        <v>23962</v>
      </c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27">
        <f>E30</f>
        <v>23962</v>
      </c>
      <c r="R30" s="20"/>
      <c r="S30" s="28">
        <v>138115</v>
      </c>
      <c r="T30" s="29" t="s">
        <v>33</v>
      </c>
      <c r="U30" s="17"/>
    </row>
    <row r="31" spans="1:21" ht="24.95" customHeight="1" x14ac:dyDescent="0.25">
      <c r="A31" s="17"/>
      <c r="B31" s="64" t="s">
        <v>8</v>
      </c>
      <c r="C31" s="96"/>
      <c r="D31" s="19">
        <v>97</v>
      </c>
      <c r="E31" s="18">
        <f>H29</f>
        <v>27933</v>
      </c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27">
        <f>E31</f>
        <v>27933</v>
      </c>
      <c r="R31" s="20"/>
      <c r="S31" s="28">
        <v>23962</v>
      </c>
      <c r="T31" s="29" t="s">
        <v>34</v>
      </c>
      <c r="U31" s="17"/>
    </row>
    <row r="32" spans="1:21" ht="24.95" customHeight="1" x14ac:dyDescent="0.25">
      <c r="A32" s="17"/>
      <c r="B32" s="64"/>
      <c r="C32" s="96"/>
      <c r="D32" s="19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20"/>
      <c r="S32" s="28">
        <v>27933</v>
      </c>
      <c r="T32" s="29" t="s">
        <v>35</v>
      </c>
      <c r="U32" s="17"/>
    </row>
    <row r="33" spans="1:21" ht="24.95" customHeight="1" x14ac:dyDescent="0.25">
      <c r="A33" s="17"/>
      <c r="B33" s="64"/>
      <c r="C33" s="96"/>
      <c r="D33" s="19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20"/>
      <c r="S33" s="18"/>
      <c r="T33" s="29"/>
      <c r="U33" s="30">
        <f>SUM(Q28:Q32)-SUM(S28:S32)</f>
        <v>0</v>
      </c>
    </row>
    <row r="34" spans="1:21" ht="24.95" customHeight="1" x14ac:dyDescent="0.25">
      <c r="A34" s="21"/>
      <c r="B34" s="63"/>
      <c r="C34" s="95"/>
      <c r="D34" s="23"/>
      <c r="E34" s="22"/>
      <c r="F34" s="22"/>
      <c r="G34" s="22"/>
      <c r="H34" s="24"/>
      <c r="I34" s="22"/>
      <c r="J34" s="24"/>
      <c r="K34" s="24"/>
      <c r="L34" s="24"/>
      <c r="M34" s="24"/>
      <c r="N34" s="24"/>
      <c r="O34" s="24"/>
      <c r="P34" s="24"/>
      <c r="Q34" s="22"/>
      <c r="R34" s="25">
        <f>A35</f>
        <v>58620</v>
      </c>
      <c r="S34" s="22"/>
      <c r="T34" s="22"/>
      <c r="U34" s="17"/>
    </row>
    <row r="35" spans="1:21" ht="24.95" customHeight="1" x14ac:dyDescent="0.25">
      <c r="A35" s="17">
        <v>58620</v>
      </c>
      <c r="B35" s="62" t="s">
        <v>71</v>
      </c>
      <c r="C35" s="94">
        <v>45128</v>
      </c>
      <c r="D35" s="35">
        <v>47</v>
      </c>
      <c r="E35" s="18">
        <f>370000*80%</f>
        <v>296000</v>
      </c>
      <c r="F35" s="18">
        <v>59132</v>
      </c>
      <c r="G35" s="18">
        <f>E35-F35</f>
        <v>236868</v>
      </c>
      <c r="H35" s="18">
        <f>G35*18%</f>
        <v>42636.24</v>
      </c>
      <c r="I35" s="18">
        <f>G35+H35</f>
        <v>279504.24</v>
      </c>
      <c r="J35" s="18">
        <f>G35*1%</f>
        <v>2368.6799999999998</v>
      </c>
      <c r="K35" s="18">
        <f>G35*5%</f>
        <v>11843.400000000001</v>
      </c>
      <c r="L35" s="18">
        <f>G35*5%</f>
        <v>11843.400000000001</v>
      </c>
      <c r="M35" s="18"/>
      <c r="N35" s="18"/>
      <c r="O35" s="18"/>
      <c r="P35" s="27">
        <f>H35</f>
        <v>42636.24</v>
      </c>
      <c r="Q35" s="28">
        <f>I35-N35-M35-L35-K35-J35-P35</f>
        <v>210812.52</v>
      </c>
      <c r="R35" s="20"/>
      <c r="S35" s="28">
        <v>210812</v>
      </c>
      <c r="T35" s="29" t="s">
        <v>36</v>
      </c>
      <c r="U35" s="17"/>
    </row>
    <row r="36" spans="1:21" ht="24.95" customHeight="1" x14ac:dyDescent="0.25">
      <c r="A36" s="17"/>
      <c r="B36" s="64"/>
      <c r="C36" s="96"/>
      <c r="D36" s="19">
        <v>47</v>
      </c>
      <c r="E36" s="18">
        <f>P35</f>
        <v>42636.24</v>
      </c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27">
        <f>E36</f>
        <v>42636.24</v>
      </c>
      <c r="R36" s="20"/>
      <c r="S36" s="18"/>
      <c r="T36" s="29"/>
      <c r="U36" s="17"/>
    </row>
    <row r="37" spans="1:21" ht="24.95" customHeight="1" x14ac:dyDescent="0.25">
      <c r="A37" s="21"/>
      <c r="B37" s="63"/>
      <c r="C37" s="95"/>
      <c r="D37" s="23"/>
      <c r="E37" s="22"/>
      <c r="F37" s="22"/>
      <c r="G37" s="22"/>
      <c r="H37" s="24"/>
      <c r="I37" s="22"/>
      <c r="J37" s="24"/>
      <c r="K37" s="24"/>
      <c r="L37" s="24"/>
      <c r="M37" s="24"/>
      <c r="N37" s="24"/>
      <c r="O37" s="24"/>
      <c r="P37" s="24"/>
      <c r="Q37" s="22"/>
      <c r="R37" s="25">
        <f>A38</f>
        <v>59990</v>
      </c>
      <c r="S37" s="22"/>
      <c r="T37" s="22"/>
      <c r="U37" s="30">
        <f>SUM(Q35:Q36)-SUM(S35:S36)</f>
        <v>42636.75999999998</v>
      </c>
    </row>
    <row r="38" spans="1:21" ht="24.95" customHeight="1" x14ac:dyDescent="0.25">
      <c r="A38" s="17">
        <v>59990</v>
      </c>
      <c r="B38" s="62" t="s">
        <v>72</v>
      </c>
      <c r="C38" s="94">
        <v>45218</v>
      </c>
      <c r="D38" s="35">
        <v>83</v>
      </c>
      <c r="E38" s="18">
        <f>824810-4</f>
        <v>824806</v>
      </c>
      <c r="F38" s="18">
        <v>196472</v>
      </c>
      <c r="G38" s="18">
        <f>E38-F38</f>
        <v>628334</v>
      </c>
      <c r="H38" s="18">
        <f>G38*18%</f>
        <v>113100.12</v>
      </c>
      <c r="I38" s="18">
        <f>G38+H38</f>
        <v>741434.12</v>
      </c>
      <c r="J38" s="18">
        <f>G38*20%</f>
        <v>125666.8</v>
      </c>
      <c r="K38" s="18">
        <f>G38*5%</f>
        <v>31416.7</v>
      </c>
      <c r="L38" s="18"/>
      <c r="M38" s="18">
        <f>G38*10%</f>
        <v>62833.4</v>
      </c>
      <c r="N38" s="18">
        <f>G38*10%</f>
        <v>62833.4</v>
      </c>
      <c r="O38" s="18"/>
      <c r="P38" s="27">
        <f>H38</f>
        <v>113100.12</v>
      </c>
      <c r="Q38" s="28">
        <f>I38-N38-M38-L38-K38-J38-P38</f>
        <v>345583.7</v>
      </c>
      <c r="R38" s="20"/>
      <c r="S38" s="28">
        <v>345585</v>
      </c>
      <c r="T38" s="29" t="s">
        <v>37</v>
      </c>
      <c r="U38" s="17" t="s">
        <v>7</v>
      </c>
    </row>
    <row r="39" spans="1:21" ht="24.95" customHeight="1" x14ac:dyDescent="0.25">
      <c r="A39" s="17"/>
      <c r="B39" s="64"/>
      <c r="C39" s="96"/>
      <c r="D39" s="19">
        <v>83</v>
      </c>
      <c r="E39" s="18">
        <f>P38</f>
        <v>113100.12</v>
      </c>
      <c r="F39" s="18"/>
      <c r="G39" s="18"/>
      <c r="H39" s="18"/>
      <c r="I39" s="18"/>
      <c r="J39" s="18">
        <f>G38*1%</f>
        <v>6283.34</v>
      </c>
      <c r="K39" s="18"/>
      <c r="L39" s="18"/>
      <c r="M39" s="18"/>
      <c r="N39" s="18"/>
      <c r="O39" s="18"/>
      <c r="P39" s="18"/>
      <c r="Q39" s="27">
        <f>E39</f>
        <v>113100.12</v>
      </c>
      <c r="R39" s="20"/>
      <c r="S39" s="18">
        <v>99000</v>
      </c>
      <c r="T39" s="29" t="s">
        <v>38</v>
      </c>
      <c r="U39" s="17"/>
    </row>
    <row r="40" spans="1:21" ht="24.95" customHeight="1" x14ac:dyDescent="0.25">
      <c r="A40" s="17"/>
      <c r="B40" s="64"/>
      <c r="C40" s="96"/>
      <c r="D40" s="19"/>
      <c r="E40" s="18"/>
      <c r="F40" s="18"/>
      <c r="G40" s="18"/>
      <c r="H40" s="18"/>
      <c r="I40" s="18"/>
      <c r="J40" s="18">
        <f>J38-J39</f>
        <v>119383.46</v>
      </c>
      <c r="K40" s="18">
        <f>J40+U41</f>
        <v>34482.280000000013</v>
      </c>
      <c r="L40" s="18"/>
      <c r="M40" s="18"/>
      <c r="N40" s="18"/>
      <c r="O40" s="18"/>
      <c r="P40" s="18"/>
      <c r="Q40" s="27"/>
      <c r="R40" s="20"/>
      <c r="S40" s="18">
        <v>99000</v>
      </c>
      <c r="T40" s="29" t="s">
        <v>39</v>
      </c>
      <c r="U40" s="17"/>
    </row>
    <row r="41" spans="1:21" ht="24.95" customHeight="1" x14ac:dyDescent="0.25">
      <c r="A41" s="21"/>
      <c r="B41" s="63"/>
      <c r="C41" s="95"/>
      <c r="D41" s="23"/>
      <c r="E41" s="22"/>
      <c r="F41" s="22"/>
      <c r="G41" s="22"/>
      <c r="H41" s="24"/>
      <c r="I41" s="22"/>
      <c r="J41" s="24"/>
      <c r="K41" s="24"/>
      <c r="L41" s="24"/>
      <c r="M41" s="24"/>
      <c r="N41" s="24"/>
      <c r="O41" s="24"/>
      <c r="P41" s="24"/>
      <c r="Q41" s="22"/>
      <c r="R41" s="25">
        <f>A42</f>
        <v>60864</v>
      </c>
      <c r="S41" s="22"/>
      <c r="T41" s="22"/>
      <c r="U41" s="30">
        <f>SUM(Q38:Q40)-SUM(S38:S40)</f>
        <v>-84901.18</v>
      </c>
    </row>
    <row r="42" spans="1:21" ht="24.95" customHeight="1" x14ac:dyDescent="0.25">
      <c r="A42" s="17">
        <v>60864</v>
      </c>
      <c r="B42" s="65" t="s">
        <v>73</v>
      </c>
      <c r="C42" s="94">
        <v>45261</v>
      </c>
      <c r="D42" s="26">
        <v>103</v>
      </c>
      <c r="E42" s="36">
        <v>409850</v>
      </c>
      <c r="F42" s="36">
        <v>131617.5</v>
      </c>
      <c r="G42" s="18">
        <f>E42-F42</f>
        <v>278232.5</v>
      </c>
      <c r="H42" s="18">
        <f>G42*18%</f>
        <v>50081.85</v>
      </c>
      <c r="I42" s="18">
        <f>G42+H42</f>
        <v>328314.34999999998</v>
      </c>
      <c r="J42" s="18">
        <f>G42*1%</f>
        <v>2782.3250000000003</v>
      </c>
      <c r="K42" s="18">
        <f>G42*5%</f>
        <v>13911.625</v>
      </c>
      <c r="L42" s="18">
        <f>G42*10%</f>
        <v>27823.25</v>
      </c>
      <c r="M42" s="18"/>
      <c r="N42" s="18"/>
      <c r="O42" s="18"/>
      <c r="P42" s="27">
        <f>H42</f>
        <v>50081.85</v>
      </c>
      <c r="Q42" s="28">
        <f>I42-N42-M42-L42-K42-J42-P42</f>
        <v>233715.29999999996</v>
      </c>
      <c r="R42" s="20"/>
      <c r="S42" s="28">
        <v>233715</v>
      </c>
      <c r="T42" s="18" t="s">
        <v>40</v>
      </c>
      <c r="U42" s="17"/>
    </row>
    <row r="43" spans="1:21" ht="24.95" customHeight="1" x14ac:dyDescent="0.25">
      <c r="A43" s="17"/>
      <c r="B43" s="65" t="s">
        <v>8</v>
      </c>
      <c r="C43" s="94"/>
      <c r="D43" s="26">
        <v>103</v>
      </c>
      <c r="E43" s="36">
        <f>P42</f>
        <v>50081.85</v>
      </c>
      <c r="F43" s="36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27">
        <f>E43</f>
        <v>50081.85</v>
      </c>
      <c r="R43" s="20"/>
      <c r="S43" s="18">
        <v>50082</v>
      </c>
      <c r="T43" s="18" t="s">
        <v>41</v>
      </c>
      <c r="U43" s="17"/>
    </row>
    <row r="44" spans="1:21" ht="24.95" customHeight="1" x14ac:dyDescent="0.25">
      <c r="A44" s="21"/>
      <c r="B44" s="63"/>
      <c r="C44" s="95"/>
      <c r="D44" s="23"/>
      <c r="E44" s="22"/>
      <c r="F44" s="22"/>
      <c r="G44" s="22"/>
      <c r="H44" s="24"/>
      <c r="I44" s="22"/>
      <c r="J44" s="24"/>
      <c r="K44" s="24"/>
      <c r="L44" s="24"/>
      <c r="M44" s="24"/>
      <c r="N44" s="24"/>
      <c r="O44" s="24"/>
      <c r="P44" s="24"/>
      <c r="Q44" s="22"/>
      <c r="R44" s="25">
        <f>A45</f>
        <v>63272</v>
      </c>
      <c r="S44" s="22"/>
      <c r="T44" s="22"/>
      <c r="U44" s="30">
        <f>SUM(Q42:Q43)-SUM(S42:S43)</f>
        <v>0.1499999999650754</v>
      </c>
    </row>
    <row r="45" spans="1:21" ht="24.95" customHeight="1" x14ac:dyDescent="0.25">
      <c r="A45" s="17">
        <v>63272</v>
      </c>
      <c r="B45" s="62" t="s">
        <v>74</v>
      </c>
      <c r="C45" s="94">
        <v>45381</v>
      </c>
      <c r="D45" s="35">
        <v>154</v>
      </c>
      <c r="E45" s="18">
        <v>217000</v>
      </c>
      <c r="F45" s="18">
        <v>0</v>
      </c>
      <c r="G45" s="18">
        <f>E45-F45</f>
        <v>217000</v>
      </c>
      <c r="H45" s="18">
        <f>G45*18%</f>
        <v>39060</v>
      </c>
      <c r="I45" s="18">
        <f>G45+H45</f>
        <v>256060</v>
      </c>
      <c r="J45" s="18">
        <f>G45*1%</f>
        <v>2170</v>
      </c>
      <c r="K45" s="18">
        <f>G45*5%</f>
        <v>10850</v>
      </c>
      <c r="L45" s="18">
        <v>0</v>
      </c>
      <c r="M45" s="18"/>
      <c r="N45" s="18"/>
      <c r="O45" s="18"/>
      <c r="P45" s="27">
        <f>H45</f>
        <v>39060</v>
      </c>
      <c r="Q45" s="28">
        <f>I45-N45-M45-L45-K45-J45-P45</f>
        <v>203980</v>
      </c>
      <c r="R45" s="20"/>
      <c r="S45" s="28">
        <v>203980</v>
      </c>
      <c r="T45" s="29" t="s">
        <v>42</v>
      </c>
      <c r="U45" s="17"/>
    </row>
    <row r="46" spans="1:21" ht="24.95" customHeight="1" x14ac:dyDescent="0.25">
      <c r="A46" s="17"/>
      <c r="B46" s="64" t="s">
        <v>14</v>
      </c>
      <c r="C46" s="96"/>
      <c r="D46" s="19">
        <v>154</v>
      </c>
      <c r="E46" s="18">
        <f>P45</f>
        <v>39060</v>
      </c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27">
        <f>E46</f>
        <v>39060</v>
      </c>
      <c r="R46" s="20"/>
      <c r="S46" s="18">
        <v>39060</v>
      </c>
      <c r="T46" s="29" t="s">
        <v>43</v>
      </c>
      <c r="U46" s="17"/>
    </row>
    <row r="47" spans="1:21" ht="24.95" customHeight="1" x14ac:dyDescent="0.25">
      <c r="A47" s="21"/>
      <c r="B47" s="63"/>
      <c r="C47" s="95"/>
      <c r="D47" s="23"/>
      <c r="E47" s="22"/>
      <c r="F47" s="22"/>
      <c r="G47" s="22"/>
      <c r="H47" s="24"/>
      <c r="I47" s="22"/>
      <c r="J47" s="24"/>
      <c r="K47" s="24"/>
      <c r="L47" s="24"/>
      <c r="M47" s="24"/>
      <c r="N47" s="24"/>
      <c r="O47" s="24"/>
      <c r="P47" s="24"/>
      <c r="Q47" s="22"/>
      <c r="R47" s="25">
        <f>A48</f>
        <v>63273</v>
      </c>
      <c r="S47" s="22"/>
      <c r="T47" s="22"/>
      <c r="U47" s="30">
        <f>SUM(Q45:Q46)-SUM(S45:S46)</f>
        <v>0</v>
      </c>
    </row>
    <row r="48" spans="1:21" ht="24.95" customHeight="1" x14ac:dyDescent="0.25">
      <c r="A48" s="17">
        <v>63273</v>
      </c>
      <c r="B48" s="62" t="s">
        <v>75</v>
      </c>
      <c r="C48" s="94">
        <v>45381</v>
      </c>
      <c r="D48" s="35">
        <v>152</v>
      </c>
      <c r="E48" s="18">
        <v>304800</v>
      </c>
      <c r="F48" s="18">
        <v>0</v>
      </c>
      <c r="G48" s="18">
        <f>E48-F48</f>
        <v>304800</v>
      </c>
      <c r="H48" s="18">
        <f>G48*18%</f>
        <v>54864</v>
      </c>
      <c r="I48" s="18">
        <f>G48+H48</f>
        <v>359664</v>
      </c>
      <c r="J48" s="18">
        <f>G48*1%</f>
        <v>3048</v>
      </c>
      <c r="K48" s="18">
        <f>G48*5%</f>
        <v>15240</v>
      </c>
      <c r="L48" s="18"/>
      <c r="M48" s="18">
        <v>0</v>
      </c>
      <c r="N48" s="18">
        <v>0</v>
      </c>
      <c r="O48" s="18"/>
      <c r="P48" s="27">
        <f>H48</f>
        <v>54864</v>
      </c>
      <c r="Q48" s="28">
        <f>I48-N48-M48-L48-K48-J48-P48</f>
        <v>286512</v>
      </c>
      <c r="R48" s="20"/>
      <c r="S48" s="28">
        <v>286512</v>
      </c>
      <c r="T48" s="29" t="s">
        <v>44</v>
      </c>
      <c r="U48" s="17"/>
    </row>
    <row r="49" spans="1:21" ht="24.95" customHeight="1" x14ac:dyDescent="0.25">
      <c r="A49" s="17"/>
      <c r="B49" s="62" t="s">
        <v>8</v>
      </c>
      <c r="C49" s="94"/>
      <c r="D49" s="35">
        <v>152</v>
      </c>
      <c r="E49" s="18">
        <f>P48</f>
        <v>54864</v>
      </c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27">
        <f>E49</f>
        <v>54864</v>
      </c>
      <c r="R49" s="20"/>
      <c r="S49" s="18">
        <v>54864</v>
      </c>
      <c r="T49" s="29" t="s">
        <v>45</v>
      </c>
      <c r="U49" s="17"/>
    </row>
    <row r="50" spans="1:21" ht="24.95" customHeight="1" x14ac:dyDescent="0.25">
      <c r="A50" s="17"/>
      <c r="B50" s="62"/>
      <c r="C50" s="94"/>
      <c r="D50" s="35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20"/>
      <c r="S50" s="18"/>
      <c r="T50" s="29"/>
      <c r="U50" s="17"/>
    </row>
    <row r="51" spans="1:21" ht="24.95" customHeight="1" x14ac:dyDescent="0.25">
      <c r="A51" s="17"/>
      <c r="B51" s="64"/>
      <c r="C51" s="96"/>
      <c r="D51" s="19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20"/>
      <c r="S51" s="18"/>
      <c r="T51" s="29"/>
      <c r="U51" s="17"/>
    </row>
    <row r="52" spans="1:21" ht="24.95" customHeight="1" x14ac:dyDescent="0.25">
      <c r="A52" s="21"/>
      <c r="B52" s="63"/>
      <c r="C52" s="95"/>
      <c r="D52" s="23"/>
      <c r="E52" s="22"/>
      <c r="F52" s="22"/>
      <c r="G52" s="22"/>
      <c r="H52" s="24"/>
      <c r="I52" s="22"/>
      <c r="J52" s="24"/>
      <c r="K52" s="24"/>
      <c r="L52" s="24"/>
      <c r="M52" s="24"/>
      <c r="N52" s="24"/>
      <c r="O52" s="24"/>
      <c r="P52" s="24"/>
      <c r="Q52" s="22"/>
      <c r="R52" s="25">
        <f>A53</f>
        <v>63274</v>
      </c>
      <c r="S52" s="22"/>
      <c r="T52" s="22"/>
      <c r="U52" s="30">
        <f>SUM(Q48:Q51)-SUM(S48:S51)</f>
        <v>0</v>
      </c>
    </row>
    <row r="53" spans="1:21" ht="24.95" customHeight="1" x14ac:dyDescent="0.25">
      <c r="A53" s="17">
        <v>63274</v>
      </c>
      <c r="B53" s="62" t="s">
        <v>76</v>
      </c>
      <c r="C53" s="94">
        <v>45381</v>
      </c>
      <c r="D53" s="26">
        <v>153</v>
      </c>
      <c r="E53" s="36">
        <v>296000</v>
      </c>
      <c r="F53" s="36">
        <v>228521</v>
      </c>
      <c r="G53" s="18">
        <f>E53-F53</f>
        <v>67479</v>
      </c>
      <c r="H53" s="18">
        <f>G53*18%</f>
        <v>12146.22</v>
      </c>
      <c r="I53" s="18">
        <f>G53+H53</f>
        <v>79625.22</v>
      </c>
      <c r="J53" s="18">
        <f>G53*1%</f>
        <v>674.79</v>
      </c>
      <c r="K53" s="18">
        <f>G53*5%</f>
        <v>3373.9500000000003</v>
      </c>
      <c r="L53" s="18">
        <v>0</v>
      </c>
      <c r="M53" s="18"/>
      <c r="N53" s="18"/>
      <c r="O53" s="18"/>
      <c r="P53" s="27">
        <f>H53</f>
        <v>12146.22</v>
      </c>
      <c r="Q53" s="28">
        <f>I53-N53-M53-L53-K53-J53-P53</f>
        <v>63430.260000000009</v>
      </c>
      <c r="R53" s="20"/>
      <c r="S53" s="28">
        <v>63430</v>
      </c>
      <c r="T53" s="18" t="s">
        <v>46</v>
      </c>
      <c r="U53" s="17"/>
    </row>
    <row r="54" spans="1:21" ht="24.95" customHeight="1" x14ac:dyDescent="0.25">
      <c r="A54" s="17"/>
      <c r="B54" s="65" t="s">
        <v>14</v>
      </c>
      <c r="C54" s="94"/>
      <c r="D54" s="26">
        <v>153</v>
      </c>
      <c r="E54" s="36">
        <f>P53</f>
        <v>12146.22</v>
      </c>
      <c r="F54" s="36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27">
        <f>E54</f>
        <v>12146.22</v>
      </c>
      <c r="R54" s="20"/>
      <c r="S54" s="18">
        <v>12146</v>
      </c>
      <c r="T54" s="18" t="s">
        <v>47</v>
      </c>
      <c r="U54" s="17"/>
    </row>
    <row r="55" spans="1:21" ht="24.95" customHeight="1" x14ac:dyDescent="0.25">
      <c r="A55" s="17"/>
      <c r="B55" s="65"/>
      <c r="C55" s="94"/>
      <c r="D55" s="26"/>
      <c r="E55" s="36"/>
      <c r="F55" s="36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20"/>
      <c r="S55" s="18"/>
      <c r="T55" s="18"/>
      <c r="U55" s="30"/>
    </row>
    <row r="56" spans="1:21" ht="24.95" customHeight="1" x14ac:dyDescent="0.25">
      <c r="A56" s="21"/>
      <c r="B56" s="63"/>
      <c r="C56" s="95"/>
      <c r="D56" s="23"/>
      <c r="E56" s="22"/>
      <c r="F56" s="22"/>
      <c r="G56" s="22"/>
      <c r="H56" s="24"/>
      <c r="I56" s="22"/>
      <c r="J56" s="24"/>
      <c r="K56" s="24"/>
      <c r="L56" s="24"/>
      <c r="M56" s="24"/>
      <c r="N56" s="24"/>
      <c r="O56" s="24"/>
      <c r="P56" s="24"/>
      <c r="Q56" s="22"/>
      <c r="R56" s="25">
        <f>A57</f>
        <v>64752</v>
      </c>
      <c r="S56" s="22"/>
      <c r="T56" s="22"/>
      <c r="U56" s="30">
        <f>SUM(Q52:Q55)-SUM(S52:S55)</f>
        <v>0.48000000001047738</v>
      </c>
    </row>
    <row r="57" spans="1:21" ht="24.95" customHeight="1" x14ac:dyDescent="0.25">
      <c r="A57" s="17">
        <v>64752</v>
      </c>
      <c r="B57" s="62" t="s">
        <v>77</v>
      </c>
      <c r="C57" s="94">
        <v>45482</v>
      </c>
      <c r="D57" s="26">
        <v>26</v>
      </c>
      <c r="E57" s="36">
        <v>382585</v>
      </c>
      <c r="F57" s="36">
        <v>59451</v>
      </c>
      <c r="G57" s="18">
        <f>E57-F57</f>
        <v>323134</v>
      </c>
      <c r="H57" s="18">
        <f>G57*18%</f>
        <v>58164.119999999995</v>
      </c>
      <c r="I57" s="18">
        <f>G57+H57</f>
        <v>381298.12</v>
      </c>
      <c r="J57" s="18">
        <f>G57*1%</f>
        <v>3231.34</v>
      </c>
      <c r="K57" s="18">
        <f>G57*5%</f>
        <v>16156.7</v>
      </c>
      <c r="L57" s="18"/>
      <c r="M57" s="18"/>
      <c r="N57" s="18"/>
      <c r="O57" s="18">
        <v>52150</v>
      </c>
      <c r="P57" s="27">
        <f>H57</f>
        <v>58164.119999999995</v>
      </c>
      <c r="Q57" s="28">
        <f>I57-N57-M57-L57-K57-J57-P57-O57</f>
        <v>251595.95999999996</v>
      </c>
      <c r="R57" s="20"/>
      <c r="S57" s="28">
        <v>200000</v>
      </c>
      <c r="T57" s="18" t="s">
        <v>48</v>
      </c>
      <c r="U57" s="17"/>
    </row>
    <row r="58" spans="1:21" ht="24.95" customHeight="1" x14ac:dyDescent="0.25">
      <c r="A58" s="17"/>
      <c r="B58" s="65" t="s">
        <v>15</v>
      </c>
      <c r="C58" s="94">
        <v>45482</v>
      </c>
      <c r="D58" s="26">
        <v>26</v>
      </c>
      <c r="E58" s="36">
        <f>P57</f>
        <v>58164.119999999995</v>
      </c>
      <c r="F58" s="36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27">
        <f>E58</f>
        <v>58164.119999999995</v>
      </c>
      <c r="R58" s="20"/>
      <c r="S58" s="18">
        <v>99000</v>
      </c>
      <c r="T58" s="18" t="s">
        <v>49</v>
      </c>
      <c r="U58" s="17"/>
    </row>
    <row r="59" spans="1:21" ht="24.95" customHeight="1" x14ac:dyDescent="0.25">
      <c r="A59" s="17"/>
      <c r="B59" s="65"/>
      <c r="C59" s="94"/>
      <c r="D59" s="26"/>
      <c r="E59" s="36"/>
      <c r="F59" s="36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20"/>
      <c r="S59" s="18"/>
      <c r="T59" s="18"/>
      <c r="U59" s="30">
        <f>SUM(Q57:Q59)-SUM(S57:S59)</f>
        <v>10760.079999999958</v>
      </c>
    </row>
    <row r="60" spans="1:21" ht="24.95" customHeight="1" x14ac:dyDescent="0.25">
      <c r="A60" s="21"/>
      <c r="B60" s="63"/>
      <c r="C60" s="95"/>
      <c r="D60" s="23"/>
      <c r="E60" s="22"/>
      <c r="F60" s="22"/>
      <c r="G60" s="22"/>
      <c r="H60" s="24"/>
      <c r="I60" s="22"/>
      <c r="J60" s="24"/>
      <c r="K60" s="24"/>
      <c r="L60" s="24"/>
      <c r="M60" s="24"/>
      <c r="N60" s="24"/>
      <c r="O60" s="24"/>
      <c r="P60" s="24"/>
      <c r="Q60" s="22"/>
      <c r="R60" s="25">
        <f>A61</f>
        <v>65167</v>
      </c>
      <c r="S60" s="22"/>
      <c r="T60" s="22"/>
      <c r="U60" s="30"/>
    </row>
    <row r="61" spans="1:21" ht="24.95" customHeight="1" x14ac:dyDescent="0.25">
      <c r="A61" s="17">
        <v>65167</v>
      </c>
      <c r="B61" s="65" t="s">
        <v>78</v>
      </c>
      <c r="C61" s="94">
        <v>45499</v>
      </c>
      <c r="D61" s="26">
        <v>30</v>
      </c>
      <c r="E61" s="36">
        <v>296000</v>
      </c>
      <c r="F61" s="36">
        <v>15260</v>
      </c>
      <c r="G61" s="18">
        <f>E61-F61</f>
        <v>280740</v>
      </c>
      <c r="H61" s="18">
        <f>G61*18%</f>
        <v>50533.2</v>
      </c>
      <c r="I61" s="18">
        <f>G61+H61</f>
        <v>331273.2</v>
      </c>
      <c r="J61" s="18">
        <f>G61*1%</f>
        <v>2807.4</v>
      </c>
      <c r="K61" s="18">
        <f>G61*5%</f>
        <v>14037</v>
      </c>
      <c r="L61" s="18"/>
      <c r="M61" s="18"/>
      <c r="N61" s="18"/>
      <c r="O61" s="18"/>
      <c r="P61" s="27">
        <f>H61</f>
        <v>50533.2</v>
      </c>
      <c r="Q61" s="28">
        <f>I61-N61-M61-L61-K61-J61-P61-O61</f>
        <v>263895.59999999998</v>
      </c>
      <c r="R61" s="20"/>
      <c r="S61" s="18">
        <v>247500</v>
      </c>
      <c r="T61" s="18" t="s">
        <v>50</v>
      </c>
      <c r="U61" s="30"/>
    </row>
    <row r="62" spans="1:21" ht="24.95" customHeight="1" x14ac:dyDescent="0.25">
      <c r="A62" s="17"/>
      <c r="B62" s="65" t="s">
        <v>15</v>
      </c>
      <c r="C62" s="94">
        <v>45499</v>
      </c>
      <c r="D62" s="26">
        <v>30</v>
      </c>
      <c r="E62" s="36">
        <f>P61</f>
        <v>50533.2</v>
      </c>
      <c r="F62" s="36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27">
        <f>E62</f>
        <v>50533.2</v>
      </c>
      <c r="R62" s="20"/>
      <c r="S62" s="18">
        <v>49500</v>
      </c>
      <c r="T62" s="18" t="s">
        <v>51</v>
      </c>
      <c r="U62" s="30"/>
    </row>
    <row r="63" spans="1:21" ht="24.95" customHeight="1" x14ac:dyDescent="0.25">
      <c r="A63" s="17"/>
      <c r="B63" s="65"/>
      <c r="C63" s="94"/>
      <c r="D63" s="26"/>
      <c r="E63" s="36"/>
      <c r="F63" s="36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20"/>
      <c r="S63" s="18">
        <v>50533</v>
      </c>
      <c r="T63" s="18" t="s">
        <v>52</v>
      </c>
      <c r="U63" s="30">
        <f>SUM(Q61:Q63)-SUM(S61:S63)</f>
        <v>-33104.200000000012</v>
      </c>
    </row>
    <row r="64" spans="1:21" ht="24.95" customHeight="1" x14ac:dyDescent="0.25">
      <c r="A64" s="21"/>
      <c r="B64" s="63"/>
      <c r="C64" s="95"/>
      <c r="D64" s="23"/>
      <c r="E64" s="22"/>
      <c r="F64" s="22"/>
      <c r="G64" s="22"/>
      <c r="H64" s="24"/>
      <c r="I64" s="22"/>
      <c r="J64" s="24"/>
      <c r="K64" s="24"/>
      <c r="L64" s="24"/>
      <c r="M64" s="24"/>
      <c r="N64" s="24"/>
      <c r="O64" s="24"/>
      <c r="P64" s="24"/>
      <c r="Q64" s="22"/>
      <c r="R64" s="25">
        <v>66382</v>
      </c>
      <c r="S64" s="22"/>
      <c r="T64" s="22"/>
      <c r="U64" s="30"/>
    </row>
    <row r="65" spans="1:21" ht="24.95" customHeight="1" x14ac:dyDescent="0.25">
      <c r="A65" s="17">
        <v>66382</v>
      </c>
      <c r="B65" s="65" t="s">
        <v>79</v>
      </c>
      <c r="C65" s="94">
        <v>45586</v>
      </c>
      <c r="D65" s="26">
        <v>35</v>
      </c>
      <c r="E65" s="36">
        <f>103.8*3500*80%</f>
        <v>290640</v>
      </c>
      <c r="F65" s="36">
        <v>49595</v>
      </c>
      <c r="G65" s="18">
        <f>E65-F65</f>
        <v>241045</v>
      </c>
      <c r="H65" s="18">
        <f>G65*18%</f>
        <v>43388.1</v>
      </c>
      <c r="I65" s="18">
        <f>G65+H65</f>
        <v>284433.09999999998</v>
      </c>
      <c r="J65" s="18">
        <f>G65*1%</f>
        <v>2410.4500000000003</v>
      </c>
      <c r="K65" s="18">
        <f>G65*5%</f>
        <v>12052.25</v>
      </c>
      <c r="L65" s="18"/>
      <c r="M65" s="18"/>
      <c r="N65" s="18"/>
      <c r="O65" s="18"/>
      <c r="P65" s="72">
        <f>H65</f>
        <v>43388.1</v>
      </c>
      <c r="Q65" s="28">
        <f>I65-N65-M65-L65-K65-J65-P65-O65</f>
        <v>226582.29999999996</v>
      </c>
      <c r="R65" s="71">
        <v>0.8</v>
      </c>
      <c r="S65" s="18">
        <v>200000</v>
      </c>
      <c r="T65" s="18" t="s">
        <v>53</v>
      </c>
      <c r="U65" s="17"/>
    </row>
    <row r="66" spans="1:21" ht="24.95" customHeight="1" x14ac:dyDescent="0.25">
      <c r="A66" s="52"/>
      <c r="B66" s="65" t="s">
        <v>15</v>
      </c>
      <c r="C66" s="94"/>
      <c r="D66" s="26">
        <v>35</v>
      </c>
      <c r="E66" s="36">
        <f>P65</f>
        <v>43388.1</v>
      </c>
      <c r="F66" s="36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27">
        <f>E66</f>
        <v>43388.1</v>
      </c>
      <c r="R66" s="56"/>
      <c r="S66" s="50">
        <v>43388</v>
      </c>
      <c r="T66" s="50" t="s">
        <v>54</v>
      </c>
      <c r="U66" s="52"/>
    </row>
    <row r="67" spans="1:21" ht="24.95" customHeight="1" x14ac:dyDescent="0.25">
      <c r="A67" s="52"/>
      <c r="B67" s="65"/>
      <c r="C67" s="94"/>
      <c r="D67" s="26"/>
      <c r="E67" s="36"/>
      <c r="F67" s="36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27"/>
      <c r="R67" s="56"/>
      <c r="S67" s="50">
        <v>26583</v>
      </c>
      <c r="T67" s="50" t="s">
        <v>55</v>
      </c>
      <c r="U67" s="52"/>
    </row>
    <row r="68" spans="1:21" ht="24.95" customHeight="1" x14ac:dyDescent="0.25">
      <c r="A68" s="21"/>
      <c r="B68" s="63"/>
      <c r="C68" s="95"/>
      <c r="D68" s="23"/>
      <c r="E68" s="22"/>
      <c r="F68" s="22"/>
      <c r="G68" s="22"/>
      <c r="H68" s="24"/>
      <c r="I68" s="22"/>
      <c r="J68" s="24"/>
      <c r="K68" s="24"/>
      <c r="L68" s="24"/>
      <c r="M68" s="24"/>
      <c r="N68" s="24"/>
      <c r="O68" s="24"/>
      <c r="P68" s="24"/>
      <c r="Q68" s="22"/>
      <c r="R68" s="25">
        <f>A69</f>
        <v>68536</v>
      </c>
      <c r="S68" s="22"/>
      <c r="T68" s="22"/>
      <c r="U68" s="30">
        <f>SUM(Q65:Q67)-SUM(S65:S67)</f>
        <v>-0.6000000000349246</v>
      </c>
    </row>
    <row r="69" spans="1:21" ht="24.95" customHeight="1" x14ac:dyDescent="0.25">
      <c r="A69" s="52">
        <v>68536</v>
      </c>
      <c r="B69" s="66" t="s">
        <v>80</v>
      </c>
      <c r="C69" s="94">
        <v>45764</v>
      </c>
      <c r="D69" s="26">
        <v>5</v>
      </c>
      <c r="E69" s="36">
        <v>210000</v>
      </c>
      <c r="F69" s="36">
        <v>123022</v>
      </c>
      <c r="G69" s="18">
        <f>E69-F69</f>
        <v>86978</v>
      </c>
      <c r="H69" s="18">
        <f>G69*18%</f>
        <v>15656.039999999999</v>
      </c>
      <c r="I69" s="18">
        <f>G69+H69</f>
        <v>102634.04</v>
      </c>
      <c r="J69" s="18">
        <f>G69*1%</f>
        <v>869.78</v>
      </c>
      <c r="K69" s="18">
        <f>G69*5%</f>
        <v>4348.9000000000005</v>
      </c>
      <c r="L69" s="18"/>
      <c r="M69" s="18"/>
      <c r="N69" s="18"/>
      <c r="O69" s="18"/>
      <c r="P69" s="72">
        <f>H69</f>
        <v>15656.039999999999</v>
      </c>
      <c r="Q69" s="28">
        <f>I69-N69-M69-L69-K69-J69-P69-O69</f>
        <v>81759.320000000007</v>
      </c>
      <c r="R69" s="56"/>
      <c r="S69" s="50">
        <v>99000</v>
      </c>
      <c r="T69" s="50" t="s">
        <v>56</v>
      </c>
      <c r="U69" s="52"/>
    </row>
    <row r="70" spans="1:21" ht="24.95" customHeight="1" x14ac:dyDescent="0.25">
      <c r="A70" s="52"/>
      <c r="B70" s="66"/>
      <c r="C70" s="94"/>
      <c r="D70" s="26"/>
      <c r="E70" s="36"/>
      <c r="F70" s="36"/>
      <c r="G70" s="18"/>
      <c r="H70" s="18"/>
      <c r="I70" s="18"/>
      <c r="J70" s="18"/>
      <c r="K70" s="18"/>
      <c r="L70" s="18"/>
      <c r="M70" s="18"/>
      <c r="N70" s="18"/>
      <c r="O70" s="18"/>
      <c r="P70" s="72"/>
      <c r="Q70" s="28"/>
      <c r="R70" s="56"/>
      <c r="S70" s="50"/>
      <c r="T70" s="50"/>
      <c r="U70" s="52"/>
    </row>
    <row r="71" spans="1:21" ht="24.95" customHeight="1" x14ac:dyDescent="0.25">
      <c r="A71" s="21"/>
      <c r="B71" s="63"/>
      <c r="C71" s="95"/>
      <c r="D71" s="23"/>
      <c r="E71" s="22"/>
      <c r="F71" s="22"/>
      <c r="G71" s="22"/>
      <c r="H71" s="24"/>
      <c r="I71" s="22"/>
      <c r="J71" s="24"/>
      <c r="K71" s="24"/>
      <c r="L71" s="24"/>
      <c r="M71" s="24"/>
      <c r="N71" s="24"/>
      <c r="O71" s="24"/>
      <c r="P71" s="24"/>
      <c r="Q71" s="22"/>
      <c r="R71" s="25">
        <f>A72</f>
        <v>68537</v>
      </c>
      <c r="S71" s="22"/>
      <c r="T71" s="22"/>
      <c r="U71" s="30">
        <f>SUM(Q69:Q70)-SUM(S69:S70)</f>
        <v>-17240.679999999993</v>
      </c>
    </row>
    <row r="72" spans="1:21" ht="24.95" customHeight="1" x14ac:dyDescent="0.25">
      <c r="A72" s="52">
        <v>68537</v>
      </c>
      <c r="B72" s="66" t="s">
        <v>81</v>
      </c>
      <c r="C72" s="94"/>
      <c r="D72" s="26"/>
      <c r="E72" s="36"/>
      <c r="F72" s="36"/>
      <c r="G72" s="18"/>
      <c r="H72" s="18"/>
      <c r="I72" s="18"/>
      <c r="J72" s="18"/>
      <c r="K72" s="18"/>
      <c r="L72" s="18"/>
      <c r="M72" s="18"/>
      <c r="N72" s="18"/>
      <c r="O72" s="18"/>
      <c r="P72" s="72"/>
      <c r="Q72" s="28"/>
      <c r="R72" s="56"/>
      <c r="S72" s="50">
        <v>99000</v>
      </c>
      <c r="T72" s="50" t="s">
        <v>57</v>
      </c>
      <c r="U72" s="52"/>
    </row>
    <row r="73" spans="1:21" ht="24.95" customHeight="1" x14ac:dyDescent="0.25">
      <c r="A73" s="52"/>
      <c r="B73" s="66"/>
      <c r="C73" s="94"/>
      <c r="D73" s="26"/>
      <c r="E73" s="36"/>
      <c r="F73" s="36"/>
      <c r="G73" s="18"/>
      <c r="H73" s="18"/>
      <c r="I73" s="18"/>
      <c r="J73" s="18"/>
      <c r="K73" s="18"/>
      <c r="L73" s="18"/>
      <c r="M73" s="18"/>
      <c r="N73" s="18"/>
      <c r="O73" s="18"/>
      <c r="P73" s="72"/>
      <c r="Q73" s="28"/>
      <c r="R73" s="56"/>
      <c r="S73" s="50"/>
      <c r="T73" s="50"/>
      <c r="U73" s="52"/>
    </row>
    <row r="74" spans="1:21" ht="24.95" customHeight="1" x14ac:dyDescent="0.25">
      <c r="A74" s="21"/>
      <c r="B74" s="63"/>
      <c r="C74" s="95"/>
      <c r="D74" s="23"/>
      <c r="E74" s="22"/>
      <c r="F74" s="22"/>
      <c r="G74" s="22"/>
      <c r="H74" s="24"/>
      <c r="I74" s="22"/>
      <c r="J74" s="24"/>
      <c r="K74" s="24"/>
      <c r="L74" s="24"/>
      <c r="M74" s="24"/>
      <c r="N74" s="24"/>
      <c r="O74" s="24"/>
      <c r="P74" s="24"/>
      <c r="Q74" s="22"/>
      <c r="R74" s="25">
        <f>A75</f>
        <v>69013</v>
      </c>
      <c r="S74" s="22"/>
      <c r="T74" s="22"/>
      <c r="U74" s="30">
        <f>SUM(Q72:Q73)-SUM(S72:S73)</f>
        <v>-99000</v>
      </c>
    </row>
    <row r="75" spans="1:21" ht="30" customHeight="1" x14ac:dyDescent="0.25">
      <c r="A75" s="52">
        <v>69013</v>
      </c>
      <c r="B75" s="73" t="s">
        <v>82</v>
      </c>
      <c r="C75" s="94"/>
      <c r="D75" s="26"/>
      <c r="E75" s="36"/>
      <c r="F75" s="36"/>
      <c r="G75" s="18"/>
      <c r="H75" s="18"/>
      <c r="I75" s="18"/>
      <c r="J75" s="18"/>
      <c r="K75" s="18"/>
      <c r="L75" s="18"/>
      <c r="M75" s="18"/>
      <c r="N75" s="18"/>
      <c r="O75" s="18"/>
      <c r="P75" s="72"/>
      <c r="Q75" s="28"/>
      <c r="R75" s="56"/>
      <c r="S75" s="50">
        <v>99000</v>
      </c>
      <c r="T75" s="50" t="s">
        <v>58</v>
      </c>
      <c r="U75" s="52"/>
    </row>
    <row r="76" spans="1:21" ht="30" customHeight="1" x14ac:dyDescent="0.25">
      <c r="A76" s="52"/>
      <c r="B76" s="73"/>
      <c r="C76" s="94"/>
      <c r="D76" s="26"/>
      <c r="E76" s="36"/>
      <c r="F76" s="36"/>
      <c r="G76" s="18"/>
      <c r="H76" s="18"/>
      <c r="I76" s="18"/>
      <c r="J76" s="18"/>
      <c r="K76" s="18"/>
      <c r="L76" s="18"/>
      <c r="M76" s="18"/>
      <c r="N76" s="18"/>
      <c r="O76" s="18"/>
      <c r="P76" s="72"/>
      <c r="Q76" s="28"/>
      <c r="R76" s="56"/>
      <c r="S76" s="50"/>
      <c r="T76" s="50"/>
      <c r="U76" s="52"/>
    </row>
    <row r="77" spans="1:21" ht="24.95" customHeight="1" x14ac:dyDescent="0.25">
      <c r="A77" s="21"/>
      <c r="B77" s="63"/>
      <c r="C77" s="95"/>
      <c r="D77" s="23"/>
      <c r="E77" s="22"/>
      <c r="F77" s="22"/>
      <c r="G77" s="22"/>
      <c r="H77" s="24"/>
      <c r="I77" s="22"/>
      <c r="J77" s="24"/>
      <c r="K77" s="24"/>
      <c r="L77" s="24"/>
      <c r="M77" s="24"/>
      <c r="N77" s="24"/>
      <c r="O77" s="24"/>
      <c r="P77" s="24"/>
      <c r="Q77" s="22"/>
      <c r="R77" s="25">
        <f>A78</f>
        <v>69014</v>
      </c>
      <c r="S77" s="22"/>
      <c r="T77" s="22"/>
      <c r="U77" s="30">
        <f>SUM(Q75:Q76)-SUM(S75:S76)</f>
        <v>-99000</v>
      </c>
    </row>
    <row r="78" spans="1:21" ht="30" customHeight="1" x14ac:dyDescent="0.25">
      <c r="A78" s="52">
        <v>69014</v>
      </c>
      <c r="B78" s="73" t="s">
        <v>83</v>
      </c>
      <c r="C78" s="94"/>
      <c r="D78" s="26"/>
      <c r="E78" s="36"/>
      <c r="F78" s="36"/>
      <c r="G78" s="18"/>
      <c r="H78" s="18"/>
      <c r="I78" s="18"/>
      <c r="J78" s="18"/>
      <c r="K78" s="18"/>
      <c r="L78" s="18"/>
      <c r="M78" s="18"/>
      <c r="N78" s="18"/>
      <c r="O78" s="18"/>
      <c r="P78" s="72"/>
      <c r="Q78" s="28"/>
      <c r="R78" s="56"/>
      <c r="S78" s="50">
        <v>99000</v>
      </c>
      <c r="T78" s="50" t="s">
        <v>59</v>
      </c>
      <c r="U78" s="52"/>
    </row>
    <row r="79" spans="1:21" ht="24.95" customHeight="1" x14ac:dyDescent="0.25">
      <c r="A79" s="52"/>
      <c r="B79" s="66"/>
      <c r="C79" s="94"/>
      <c r="D79" s="26"/>
      <c r="E79" s="36"/>
      <c r="F79" s="36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27">
        <f>E79</f>
        <v>0</v>
      </c>
      <c r="R79" s="56"/>
      <c r="S79" s="50"/>
      <c r="T79" s="50"/>
      <c r="U79" s="52"/>
    </row>
    <row r="80" spans="1:21" ht="24.95" customHeight="1" thickBot="1" x14ac:dyDescent="0.3">
      <c r="A80" s="50"/>
      <c r="B80" s="67"/>
      <c r="C80" s="97"/>
      <c r="D80" s="51"/>
      <c r="E80" s="50"/>
      <c r="F80" s="50"/>
      <c r="G80" s="50"/>
      <c r="H80" s="50"/>
      <c r="I80" s="50"/>
      <c r="J80" s="50"/>
      <c r="K80" s="50"/>
      <c r="L80" s="50"/>
      <c r="M80" s="50"/>
      <c r="N80" s="50"/>
      <c r="O80" s="50"/>
      <c r="P80" s="50"/>
      <c r="Q80" s="50"/>
      <c r="R80" s="50"/>
      <c r="S80" s="50"/>
      <c r="T80" s="50"/>
      <c r="U80" s="30">
        <f>SUM(Q78:Q80)-SUM(S78:S80)</f>
        <v>-99000</v>
      </c>
    </row>
    <row r="81" spans="1:21" ht="24.95" customHeight="1" x14ac:dyDescent="0.25">
      <c r="A81" s="53"/>
      <c r="B81" s="68"/>
      <c r="C81" s="98"/>
      <c r="D81" s="54"/>
      <c r="E81" s="53"/>
      <c r="F81" s="53"/>
      <c r="G81" s="53"/>
      <c r="H81" s="53"/>
      <c r="I81" s="53"/>
      <c r="J81" s="53"/>
      <c r="K81" s="55">
        <f t="shared" ref="K81:Q81" si="9">SUM(K8:K80)</f>
        <v>261585.15500000006</v>
      </c>
      <c r="L81" s="55">
        <f t="shared" si="9"/>
        <v>75427.600000000006</v>
      </c>
      <c r="M81" s="55">
        <f t="shared" si="9"/>
        <v>62833.4</v>
      </c>
      <c r="N81" s="55">
        <f t="shared" si="9"/>
        <v>62833.4</v>
      </c>
      <c r="O81" s="55">
        <f t="shared" si="9"/>
        <v>81829</v>
      </c>
      <c r="P81" s="55">
        <f t="shared" si="9"/>
        <v>740965.3899999999</v>
      </c>
      <c r="Q81" s="55">
        <f t="shared" si="9"/>
        <v>4171212.8800000008</v>
      </c>
      <c r="R81" s="55"/>
      <c r="S81" s="55">
        <f>SUM(S8:S80)</f>
        <v>4537315</v>
      </c>
      <c r="T81" s="55" t="s">
        <v>5</v>
      </c>
      <c r="U81" s="55">
        <f>SUM(U8:U80)</f>
        <v>-366102.12000000011</v>
      </c>
    </row>
    <row r="82" spans="1:21" ht="24.95" customHeight="1" x14ac:dyDescent="0.25">
      <c r="A82" s="18"/>
      <c r="B82" s="64"/>
      <c r="C82" s="96"/>
      <c r="D82" s="19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37"/>
      <c r="U82" s="17"/>
    </row>
    <row r="83" spans="1:21" ht="24.95" customHeight="1" thickBot="1" x14ac:dyDescent="0.3">
      <c r="A83" s="38"/>
      <c r="B83" s="60"/>
      <c r="C83" s="92"/>
      <c r="D83" s="39"/>
      <c r="E83" s="38"/>
      <c r="F83" s="38"/>
      <c r="G83" s="38"/>
      <c r="H83" s="38"/>
      <c r="I83" s="38"/>
      <c r="J83" s="38"/>
      <c r="K83" s="38"/>
      <c r="L83" s="38"/>
      <c r="M83" s="38"/>
      <c r="N83" s="38"/>
      <c r="O83" s="38"/>
      <c r="P83" s="38"/>
      <c r="Q83" s="38"/>
      <c r="R83" s="38"/>
      <c r="S83" s="40">
        <f>Q81-S81</f>
        <v>-366102.11999999918</v>
      </c>
      <c r="T83" s="40" t="s">
        <v>6</v>
      </c>
      <c r="U83" s="41"/>
    </row>
    <row r="84" spans="1:21" ht="24.95" customHeight="1" x14ac:dyDescent="0.25">
      <c r="A84" s="3"/>
      <c r="B84" s="69"/>
      <c r="C84" s="99"/>
      <c r="D84" s="12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6" spans="1:21" ht="24.95" customHeight="1" thickBot="1" x14ac:dyDescent="0.3"/>
    <row r="87" spans="1:21" ht="24.95" customHeight="1" thickBot="1" x14ac:dyDescent="0.3">
      <c r="K87" s="74" t="s">
        <v>2</v>
      </c>
      <c r="L87" s="75"/>
      <c r="M87" s="75"/>
      <c r="N87" s="76"/>
    </row>
    <row r="88" spans="1:21" ht="24.95" customHeight="1" thickBot="1" x14ac:dyDescent="0.3">
      <c r="K88" s="79">
        <v>45794</v>
      </c>
      <c r="L88" s="80"/>
      <c r="M88" s="80"/>
      <c r="N88" s="81"/>
    </row>
    <row r="89" spans="1:21" ht="24.95" customHeight="1" thickBot="1" x14ac:dyDescent="0.3">
      <c r="K89" s="13" t="s">
        <v>10</v>
      </c>
      <c r="L89" s="14"/>
      <c r="M89" s="77">
        <f>K81+L81+M81+N81</f>
        <v>462679.55500000011</v>
      </c>
      <c r="N89" s="78"/>
    </row>
    <row r="90" spans="1:21" ht="24.95" customHeight="1" thickBot="1" x14ac:dyDescent="0.3">
      <c r="K90" s="13" t="s">
        <v>11</v>
      </c>
      <c r="L90" s="14"/>
      <c r="M90" s="77">
        <f>S83</f>
        <v>-366102.11999999918</v>
      </c>
      <c r="N90" s="78"/>
    </row>
    <row r="91" spans="1:21" ht="24.95" customHeight="1" thickBot="1" x14ac:dyDescent="0.3">
      <c r="K91" s="13" t="s">
        <v>12</v>
      </c>
      <c r="L91" s="14"/>
      <c r="M91" s="77"/>
      <c r="N91" s="78"/>
    </row>
    <row r="92" spans="1:21" ht="24.95" customHeight="1" thickBot="1" x14ac:dyDescent="0.3">
      <c r="K92" s="13" t="s">
        <v>16</v>
      </c>
      <c r="L92" s="14"/>
      <c r="M92" s="77">
        <f>P81-Q62-Q58-Q54-Q49-Q46-Q43-Q39-Q36-Q31-Q30-Q26-Q25-Q20-Q18-Q14-Q9-Q66</f>
        <v>15656.040000000015</v>
      </c>
      <c r="N92" s="78"/>
    </row>
  </sheetData>
  <mergeCells count="6">
    <mergeCell ref="K87:N87"/>
    <mergeCell ref="M89:N89"/>
    <mergeCell ref="M90:N90"/>
    <mergeCell ref="M91:N91"/>
    <mergeCell ref="M92:N92"/>
    <mergeCell ref="K88:N8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2022-06-10T14:20:18Z</cp:lastPrinted>
  <dcterms:created xsi:type="dcterms:W3CDTF">2022-06-10T14:11:52Z</dcterms:created>
  <dcterms:modified xsi:type="dcterms:W3CDTF">2025-06-04T09:20:26Z</dcterms:modified>
</cp:coreProperties>
</file>