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\\192.168.3.67\e\Laxmi\PMC\UP\SWSM-Muzaffarnagar\Billing\Subcontractor\MZN Payment reconciliation\GURTEZ INFRABUILD LLP\"/>
    </mc:Choice>
  </mc:AlternateContent>
  <xr:revisionPtr revIDLastSave="0" documentId="13_ncr:1_{DB083BBC-0266-48AC-8413-BD3659CC5F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Sheet1!$A$1:$X$42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6" i="1" l="1"/>
  <c r="G26" i="1" l="1"/>
  <c r="J26" i="1" s="1"/>
  <c r="O16" i="1"/>
  <c r="G36" i="1"/>
  <c r="H36" i="1" s="1"/>
  <c r="E37" i="1" s="1"/>
  <c r="F39" i="1"/>
  <c r="H26" i="1" l="1"/>
  <c r="I26" i="1" s="1"/>
  <c r="N26" i="1"/>
  <c r="K26" i="1"/>
  <c r="I36" i="1"/>
  <c r="N36" i="1"/>
  <c r="O37" i="1" s="1"/>
  <c r="J36" i="1"/>
  <c r="K36" i="1"/>
  <c r="K17" i="1"/>
  <c r="K19" i="1"/>
  <c r="K15" i="1"/>
  <c r="N19" i="1"/>
  <c r="E20" i="1" s="1"/>
  <c r="O20" i="1" s="1"/>
  <c r="H19" i="1"/>
  <c r="I19" i="1" s="1"/>
  <c r="E19" i="1"/>
  <c r="P29" i="1"/>
  <c r="P21" i="1"/>
  <c r="P14" i="1"/>
  <c r="P10" i="1"/>
  <c r="P6" i="1"/>
  <c r="O26" i="1" l="1"/>
  <c r="O36" i="1"/>
  <c r="O19" i="1"/>
  <c r="E33" i="1"/>
  <c r="G33" i="1" s="1"/>
  <c r="J33" i="1" l="1"/>
  <c r="K33" i="1"/>
  <c r="H33" i="1"/>
  <c r="V12" i="1"/>
  <c r="V13" i="1"/>
  <c r="V25" i="1"/>
  <c r="V26" i="1"/>
  <c r="V31" i="1"/>
  <c r="V32" i="1"/>
  <c r="V33" i="1"/>
  <c r="N33" i="1" l="1"/>
  <c r="E35" i="1" s="1"/>
  <c r="O35" i="1" s="1"/>
  <c r="I33" i="1"/>
  <c r="N17" i="1"/>
  <c r="E18" i="1" s="1"/>
  <c r="H17" i="1"/>
  <c r="I17" i="1" s="1"/>
  <c r="O18" i="1" l="1"/>
  <c r="O33" i="1"/>
  <c r="M17" i="1"/>
  <c r="M39" i="1" s="1"/>
  <c r="J17" i="1"/>
  <c r="G24" i="1"/>
  <c r="H24" i="1" s="1"/>
  <c r="I24" i="1" l="1"/>
  <c r="N24" i="1"/>
  <c r="E25" i="1" s="1"/>
  <c r="J24" i="1"/>
  <c r="K24" i="1"/>
  <c r="G32" i="1"/>
  <c r="H32" i="1" s="1"/>
  <c r="O25" i="1" l="1"/>
  <c r="E39" i="1"/>
  <c r="K32" i="1"/>
  <c r="I32" i="1"/>
  <c r="N32" i="1"/>
  <c r="E34" i="1" s="1"/>
  <c r="O34" i="1" s="1"/>
  <c r="J32" i="1"/>
  <c r="O24" i="1"/>
  <c r="V24" i="1"/>
  <c r="V23" i="1"/>
  <c r="S22" i="1"/>
  <c r="V22" i="1" s="1"/>
  <c r="O32" i="1" l="1"/>
  <c r="X20" i="1"/>
  <c r="N31" i="1" l="1"/>
  <c r="G31" i="1"/>
  <c r="I31" i="1" s="1"/>
  <c r="O31" i="1" s="1"/>
  <c r="G12" i="1" l="1"/>
  <c r="I12" i="1" s="1"/>
  <c r="O12" i="1" s="1"/>
  <c r="G23" i="1" l="1"/>
  <c r="I23" i="1" s="1"/>
  <c r="O23" i="1" s="1"/>
  <c r="V30" i="1"/>
  <c r="K22" i="1"/>
  <c r="J22" i="1"/>
  <c r="S11" i="1"/>
  <c r="G11" i="1"/>
  <c r="V39" i="1" l="1"/>
  <c r="X38" i="1"/>
  <c r="L11" i="1"/>
  <c r="L39" i="1" s="1"/>
  <c r="G39" i="1"/>
  <c r="O22" i="1"/>
  <c r="X27" i="1" s="1"/>
  <c r="H11" i="1"/>
  <c r="H39" i="1" s="1"/>
  <c r="J11" i="1"/>
  <c r="J39" i="1" s="1"/>
  <c r="K11" i="1"/>
  <c r="K39" i="1" s="1"/>
  <c r="N11" i="1" l="1"/>
  <c r="N39" i="1" s="1"/>
  <c r="J48" i="1" s="1"/>
  <c r="I11" i="1"/>
  <c r="I39" i="1" s="1"/>
  <c r="O11" i="1" l="1"/>
  <c r="X14" i="1" s="1"/>
  <c r="O39" i="1" l="1"/>
  <c r="X13" i="1"/>
  <c r="X41" i="1" s="1"/>
  <c r="V41" i="1" l="1"/>
  <c r="J47" i="1" s="1"/>
</calcChain>
</file>

<file path=xl/sharedStrings.xml><?xml version="1.0" encoding="utf-8"?>
<sst xmlns="http://schemas.openxmlformats.org/spreadsheetml/2006/main" count="90" uniqueCount="76">
  <si>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</si>
  <si>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</si>
  <si>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</si>
  <si>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</si>
  <si>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</si>
  <si>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</si>
  <si>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</si>
  <si>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</si>
  <si>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</si>
  <si>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</si>
  <si>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</si>
  <si>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</si>
  <si>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</si>
  <si>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TDS (1%)</t>
  </si>
  <si>
    <t>Advance paid</t>
  </si>
  <si>
    <t>TDS Amount @ 1% on BASIC AMOUNT</t>
  </si>
  <si>
    <t xml:space="preserve">Debit </t>
  </si>
  <si>
    <t>After Debit Amt</t>
  </si>
  <si>
    <t>Muzaffarnagar UP</t>
  </si>
  <si>
    <t>On Commissioning</t>
  </si>
  <si>
    <t>Balance Payable Amount Rs. -</t>
  </si>
  <si>
    <t>Total Paid Amount Rs. -</t>
  </si>
  <si>
    <t>OHT Construction work</t>
  </si>
  <si>
    <t>Testing Deposit</t>
  </si>
  <si>
    <t>Jhabarpur Randawalui Village OHT Construction work</t>
  </si>
  <si>
    <t>Gurtez Infrabuild LLP</t>
  </si>
  <si>
    <t>Simarthi Village OHT Construction work</t>
  </si>
  <si>
    <t>RIUP23/1187</t>
  </si>
  <si>
    <t>26-07-2023 NEFT/AXISP00409381202/RIUP23/1187/GURTEZ INFRABUI 392000.00</t>
  </si>
  <si>
    <t xml:space="preserve"> MANDLA Village OHT Construction work</t>
  </si>
  <si>
    <t>RIUP23/1326</t>
  </si>
  <si>
    <t>01-08-2023 NEFT/AXISP00411721250/RIUP23/1326/GURUTEZ INFRABU 196000.00</t>
  </si>
  <si>
    <t>RIUP23/1380</t>
  </si>
  <si>
    <t>04-08-2023 NEFT/AXISP00412804464/RIUP23/1380/GURTEZ INFRABUI ₹ 1,96,000.00</t>
  </si>
  <si>
    <t>14-08-2023 NEFT/AXISP00415803577/RIUP23/1529/GURTEZ INFRABUI ₹ 4,90,000.00</t>
  </si>
  <si>
    <t>RIUP23/1529</t>
  </si>
  <si>
    <t>18-08-2023 NEFT/AXISP00416613497/RIUP23/1593/GURTEZ INFRABUI 166526.00</t>
  </si>
  <si>
    <t>RIUP23/1690</t>
  </si>
  <si>
    <t>GST release Note</t>
  </si>
  <si>
    <t>RIUP23/1593</t>
  </si>
  <si>
    <t>GST Release note</t>
  </si>
  <si>
    <t>25-08-2023 NEFT/AXISP00418296986/RIUP23/1690/GURTEZ INFRABUILD/ICIC0001588 149262.00</t>
  </si>
  <si>
    <t>GST Release Note</t>
  </si>
  <si>
    <t>RIUP23/2277</t>
  </si>
  <si>
    <t>03-10-2023 NEFT/AXISP00430209784/RIUP23/2277/GURTEZ INFRABUILD/ICIC0001588 70166.00</t>
  </si>
  <si>
    <t>03-10-2023 NEFT/AXISP00430209785/RIUP23/2280/GURTEZ INFRABUILD/ICIC0001588 102060.00</t>
  </si>
  <si>
    <t>03-10-2023 NEFT/AXISP00430209786/RIUP23/2281/GURTEZ INFRABUILD/ICIC0001588 37310.00</t>
  </si>
  <si>
    <t>17-10-2023 NEFT/AXISP00435088300/RIUP23/2278/GURTEZ INFRABUILD/ICIC0001588 52920.00</t>
  </si>
  <si>
    <t>17-10-2023 NEFT/AXISP00435088301/RIUP23/2279/GURTEZ INFRABUILD/ICIC0001588 66825.00</t>
  </si>
  <si>
    <t>10-11-2023 NEFT/AXISP00443237224/RIUP23/3223/GURTEZ INFRABUILD/ICIC0001588 147000.00</t>
  </si>
  <si>
    <t>RIUP23/3223</t>
  </si>
  <si>
    <t>RIUP23/2278</t>
  </si>
  <si>
    <t>10-11-2023 NEFT/AXISP00443237225/RIUP23/3224/GURTEZ INFRABUILD/ICIC0001588 147000.00</t>
  </si>
  <si>
    <t>RIUP23/2279</t>
  </si>
  <si>
    <t>RIUP23/3324</t>
  </si>
  <si>
    <t>10-11-2023 NEFT/AXISP00443237223/RIUP23/3222/GURTEZ INFRABUILD/ICIC0001588 147000.00</t>
  </si>
  <si>
    <t>06-12-2023 NEFT/AXISP00449987149/RIUP23/3453/GURTEZ INFRABUILD/ICIC0001588 215526.00</t>
  </si>
  <si>
    <t>RIUP23/3222</t>
  </si>
  <si>
    <t>RIUP23/3453</t>
  </si>
  <si>
    <t>RIUP23/2280</t>
  </si>
  <si>
    <t>RIUP23/2281</t>
  </si>
  <si>
    <t>Tajpur  - OHT</t>
  </si>
  <si>
    <t>22-12-2023 NEFT/AXISP00454984302/RIUP23/3787/GURTEZ INFRABUILD/ICIC0001588 52920.00 28046417.17 CBB</t>
  </si>
  <si>
    <t>22-12-2023 NEFT/AXISP00455032162/RIUP23/3786/GURTEZ INFRABUILD/ICIC0001588 70166.00</t>
  </si>
  <si>
    <t>Updated  on</t>
  </si>
  <si>
    <t>22-12-2023 NEFT/AXISP00454984303/RIUP23/3452/GURTEZ INFRABUILD/ICIC0001588 198262.00</t>
  </si>
  <si>
    <t>31-03-2024 NEFT/AXISP00486642368/RIUP23/5289/GURTEZ INFRABUILD/ICIC0001588 300000.00</t>
  </si>
  <si>
    <t>31-03-2024 NEFT/AXISP00486642369/RIUP23/3953/GURTEZINFRABUILD/ICIC0001588 66825.00</t>
  </si>
  <si>
    <t>22-03-2024 NEFT/AXISP00483612639/RIUP23/4678/GURTEZ INFRABUILD/ICIC0001588 251860.00</t>
  </si>
  <si>
    <t>29-03-2024 NEFT/AXISP00485676701/RIUP23/5304/GURTEZ INFRABUILD/ICIC0001588 52920.00</t>
  </si>
  <si>
    <t>24-05-2024 NEFT/AXISP00502672907/RIUP24/0485/GURTEZ INFRABUILD/ICIC0001588 230175.00</t>
  </si>
  <si>
    <t>24-05-2024 NEFT/AXISP00502672908/RIUP24/0226/GURTEZ INFRABUILD/ICIC0001588 66825.00</t>
  </si>
  <si>
    <t>Total Hold amt</t>
  </si>
  <si>
    <t>GST pending</t>
  </si>
  <si>
    <t>ADV/Surplus</t>
  </si>
  <si>
    <t>Sheetal -19.06.24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</si>
</sst>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3">
    <xf numFmtId="0" fontId="0" fillId="0" borderId="0" xfId="0"/>
    <xf numFmtId="43" fontId="3" fillId="2" borderId="0" xfId="1" applyNumberFormat="1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43" fontId="6" fillId="2" borderId="6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14" fontId="5" fillId="2" borderId="6" xfId="0" applyNumberFormat="1" applyFont="1" applyFill="1" applyBorder="1" applyAlignment="1">
      <alignment horizontal="center" vertical="center"/>
    </xf>
    <xf numFmtId="14" fontId="3" fillId="2" borderId="3" xfId="0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horizontal="center" vertical="center"/>
    </xf>
    <xf numFmtId="14" fontId="2" fillId="2" borderId="0" xfId="1" applyNumberFormat="1" applyFont="1" applyFill="1" applyBorder="1" applyAlignment="1">
      <alignment horizontal="center" vertical="center"/>
    </xf>
    <xf numFmtId="14" fontId="3" fillId="2" borderId="2" xfId="0" applyNumberFormat="1" applyFont="1" applyFill="1" applyBorder="1" applyAlignment="1">
      <alignment horizontal="center" vertical="center"/>
    </xf>
    <xf numFmtId="14" fontId="3" fillId="2" borderId="4" xfId="1" applyNumberFormat="1" applyFont="1" applyFill="1" applyBorder="1" applyAlignment="1">
      <alignment horizontal="center" vertical="center"/>
    </xf>
    <xf numFmtId="14" fontId="3" fillId="3" borderId="7" xfId="1" applyNumberFormat="1" applyFont="1" applyFill="1" applyBorder="1" applyAlignment="1">
      <alignment horizontal="center" vertical="center"/>
    </xf>
    <xf numFmtId="14" fontId="3" fillId="2" borderId="3" xfId="1" applyNumberFormat="1" applyFont="1" applyFill="1" applyBorder="1" applyAlignment="1">
      <alignment horizontal="center" vertical="center"/>
    </xf>
    <xf numFmtId="14" fontId="3" fillId="3" borderId="3" xfId="1" applyNumberFormat="1" applyFont="1" applyFill="1" applyBorder="1" applyAlignment="1">
      <alignment horizontal="center" vertical="center"/>
    </xf>
    <xf numFmtId="14" fontId="3" fillId="2" borderId="5" xfId="1" applyNumberFormat="1" applyFont="1" applyFill="1" applyBorder="1" applyAlignment="1">
      <alignment horizontal="center" vertical="center"/>
    </xf>
    <xf numFmtId="14" fontId="3" fillId="2" borderId="6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2" fillId="2" borderId="1" xfId="1" applyNumberFormat="1" applyFont="1" applyFill="1" applyBorder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9" fontId="3" fillId="2" borderId="4" xfId="1" applyNumberFormat="1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43" fontId="3" fillId="3" borderId="7" xfId="1" applyNumberFormat="1" applyFont="1" applyFill="1" applyBorder="1" applyAlignment="1">
      <alignment horizontal="center" vertical="center"/>
    </xf>
    <xf numFmtId="0" fontId="3" fillId="3" borderId="7" xfId="1" applyNumberFormat="1" applyFont="1" applyFill="1" applyBorder="1" applyAlignment="1">
      <alignment horizontal="center" vertical="center"/>
    </xf>
    <xf numFmtId="9" fontId="3" fillId="3" borderId="7" xfId="1" applyNumberFormat="1" applyFont="1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43" fontId="3" fillId="3" borderId="3" xfId="1" applyNumberFormat="1" applyFont="1" applyFill="1" applyBorder="1" applyAlignment="1">
      <alignment horizontal="center" vertical="center"/>
    </xf>
    <xf numFmtId="0" fontId="3" fillId="3" borderId="3" xfId="1" applyNumberFormat="1" applyFont="1" applyFill="1" applyBorder="1" applyAlignment="1">
      <alignment horizontal="center" vertical="center"/>
    </xf>
    <xf numFmtId="14" fontId="8" fillId="0" borderId="3" xfId="0" applyNumberFormat="1" applyFont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center" vertical="center"/>
    </xf>
    <xf numFmtId="0" fontId="3" fillId="2" borderId="5" xfId="1" applyNumberFormat="1" applyFont="1" applyFill="1" applyBorder="1" applyAlignment="1">
      <alignment horizontal="center" vertical="center"/>
    </xf>
    <xf numFmtId="9" fontId="5" fillId="2" borderId="5" xfId="1" applyNumberFormat="1" applyFont="1" applyFill="1" applyBorder="1" applyAlignment="1">
      <alignment horizontal="center" vertical="center"/>
    </xf>
    <xf numFmtId="43" fontId="3" fillId="2" borderId="6" xfId="1" applyNumberFormat="1" applyFont="1" applyFill="1" applyBorder="1" applyAlignment="1">
      <alignment horizontal="center" vertical="center"/>
    </xf>
    <xf numFmtId="0" fontId="3" fillId="2" borderId="6" xfId="1" applyNumberFormat="1" applyFont="1" applyFill="1" applyBorder="1" applyAlignment="1">
      <alignment horizontal="center" vertical="center"/>
    </xf>
    <xf numFmtId="43" fontId="5" fillId="2" borderId="3" xfId="1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14" fontId="3" fillId="2" borderId="0" xfId="0" applyNumberFormat="1" applyFont="1" applyFill="1" applyAlignment="1">
      <alignment horizontal="center" vertical="center"/>
    </xf>
    <xf numFmtId="43" fontId="0" fillId="2" borderId="0" xfId="0" applyNumberFormat="1" applyFill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14" fontId="3" fillId="2" borderId="0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43" fontId="3" fillId="2" borderId="9" xfId="1" applyNumberFormat="1" applyFont="1" applyFill="1" applyBorder="1" applyAlignment="1">
      <alignment horizontal="center" vertical="center"/>
    </xf>
    <xf numFmtId="43" fontId="7" fillId="2" borderId="10" xfId="1" applyNumberFormat="1" applyFont="1" applyFill="1" applyBorder="1" applyAlignment="1">
      <alignment horizontal="center" vertical="center"/>
    </xf>
    <xf numFmtId="43" fontId="7" fillId="2" borderId="11" xfId="1" applyNumberFormat="1" applyFont="1" applyFill="1" applyBorder="1" applyAlignment="1">
      <alignment horizontal="center" vertical="center"/>
    </xf>
    <xf numFmtId="43" fontId="7" fillId="2" borderId="12" xfId="1" applyNumberFormat="1" applyFont="1" applyFill="1" applyBorder="1" applyAlignment="1">
      <alignment horizontal="center" vertical="center"/>
    </xf>
    <xf numFmtId="43" fontId="7" fillId="2" borderId="8" xfId="1" applyNumberFormat="1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43" fontId="10" fillId="2" borderId="10" xfId="1" applyNumberFormat="1" applyFont="1" applyFill="1" applyBorder="1" applyAlignment="1">
      <alignment horizontal="center" vertical="center"/>
    </xf>
    <xf numFmtId="43" fontId="10" fillId="2" borderId="11" xfId="1" applyNumberFormat="1" applyFont="1" applyFill="1" applyBorder="1" applyAlignment="1">
      <alignment horizontal="center" vertical="center"/>
    </xf>
    <xf numFmtId="43" fontId="10" fillId="2" borderId="12" xfId="1" applyNumberFormat="1" applyFont="1" applyFill="1" applyBorder="1" applyAlignment="1">
      <alignment horizontal="center" vertical="center"/>
    </xf>
    <xf numFmtId="43" fontId="7" fillId="2" borderId="10" xfId="0" applyNumberFormat="1" applyFont="1" applyFill="1" applyBorder="1" applyAlignment="1">
      <alignment horizontal="center" vertical="center"/>
    </xf>
    <xf numFmtId="43" fontId="7" fillId="2" borderId="12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D48"/>
  <sheetViews>
    <sheetView tabSelected="1" zoomScale="85" zoomScaleNormal="85" zoomScaleSheetLayoutView="85" workbookViewId="0">
      <pane ySplit="4" topLeftCell="A37" activePane="bottomLeft" state="frozen"/>
      <selection pane="bottomLeft" activeCell="O46" sqref="O46"/>
    </sheetView>
  </sheetViews>
  <sheetFormatPr defaultColWidth="9" defaultRowHeight="30" customHeight="1" x14ac:dyDescent="0.25"/>
  <cols>
    <col min="1" max="1" width="9.42578125" style="22" customWidth="1"/>
    <col min="2" max="2" width="32.140625" style="22" customWidth="1"/>
    <col min="3" max="3" width="13.42578125" style="13" bestFit="1" customWidth="1"/>
    <col min="4" max="4" width="11.5703125" style="22" bestFit="1" customWidth="1"/>
    <col min="5" max="5" width="15" style="22" bestFit="1" customWidth="1"/>
    <col min="6" max="6" width="13.28515625" style="22" customWidth="1"/>
    <col min="7" max="7" width="15" style="22" bestFit="1" customWidth="1"/>
    <col min="8" max="8" width="14.7109375" style="28" customWidth="1"/>
    <col min="9" max="9" width="17.28515625" style="28" customWidth="1"/>
    <col min="10" max="10" width="12" style="22" bestFit="1" customWidth="1"/>
    <col min="11" max="11" width="14.42578125" style="22" bestFit="1" customWidth="1"/>
    <col min="12" max="12" width="10.42578125" style="22" customWidth="1"/>
    <col min="13" max="13" width="12.140625" style="22" customWidth="1"/>
    <col min="14" max="14" width="14.85546875" style="22" customWidth="1"/>
    <col min="15" max="15" width="15.85546875" style="22" bestFit="1" customWidth="1"/>
    <col min="16" max="16" width="10.85546875" style="22" bestFit="1" customWidth="1"/>
    <col min="17" max="17" width="21.7109375" style="22" hidden="1" customWidth="1"/>
    <col min="18" max="18" width="12.7109375" style="22" hidden="1" customWidth="1"/>
    <col min="19" max="21" width="14.5703125" style="22" hidden="1" customWidth="1"/>
    <col min="22" max="22" width="19.7109375" style="22" bestFit="1" customWidth="1"/>
    <col min="23" max="23" width="102.28515625" style="22" customWidth="1"/>
    <col min="24" max="24" width="13.42578125" style="22" bestFit="1" customWidth="1"/>
    <col min="25" max="25" width="11.7109375" style="22" bestFit="1" customWidth="1"/>
    <col min="26" max="16384" width="9" style="22"/>
  </cols>
  <sheetData>
    <row r="1" spans="1:82" ht="30" customHeight="1" thickBot="1" x14ac:dyDescent="0.3">
      <c r="B1" s="23" t="s">
        <v>18</v>
      </c>
      <c r="E1" s="24"/>
      <c r="F1" s="24"/>
      <c r="G1" s="24"/>
      <c r="H1" s="25"/>
      <c r="I1" s="25"/>
    </row>
    <row r="2" spans="1:82" ht="30" customHeight="1" thickBot="1" x14ac:dyDescent="0.3">
      <c r="B2" s="26" t="s">
        <v>0</v>
      </c>
      <c r="C2" s="14"/>
      <c r="D2" s="27" t="s">
        <v>25</v>
      </c>
      <c r="G2" s="1"/>
      <c r="I2" s="1" t="s">
        <v>22</v>
      </c>
      <c r="J2" s="29"/>
      <c r="K2" s="29"/>
      <c r="L2" s="29"/>
      <c r="M2" s="29"/>
      <c r="N2" s="29"/>
      <c r="O2" s="29" t="s">
        <v>64</v>
      </c>
      <c r="P2" s="57">
        <v>45447</v>
      </c>
      <c r="Q2" s="29"/>
      <c r="R2" s="29"/>
      <c r="S2" s="29"/>
      <c r="T2" s="29"/>
      <c r="U2" s="29"/>
    </row>
    <row r="3" spans="1:82" ht="30" customHeight="1" thickBot="1" x14ac:dyDescent="0.3">
      <c r="B3" s="30"/>
      <c r="C3" s="15"/>
      <c r="D3" s="30"/>
      <c r="E3" s="30"/>
      <c r="F3" s="29"/>
      <c r="G3" s="29"/>
      <c r="H3" s="1"/>
      <c r="I3" s="1"/>
      <c r="J3" s="29"/>
      <c r="K3" s="29"/>
      <c r="L3" s="29"/>
      <c r="M3" s="29"/>
      <c r="Q3" s="29"/>
      <c r="R3" s="31"/>
      <c r="S3" s="31"/>
      <c r="T3" s="31"/>
      <c r="U3" s="31"/>
      <c r="V3" s="31"/>
      <c r="W3" s="31"/>
    </row>
    <row r="4" spans="1:82" ht="30" customHeight="1" x14ac:dyDescent="0.25">
      <c r="A4" s="32"/>
      <c r="B4" s="3" t="s">
        <v>1</v>
      </c>
      <c r="C4" s="11" t="s">
        <v>2</v>
      </c>
      <c r="D4" s="3" t="s">
        <v>3</v>
      </c>
      <c r="E4" s="3" t="s">
        <v>4</v>
      </c>
      <c r="F4" s="3" t="s">
        <v>16</v>
      </c>
      <c r="G4" s="4" t="s">
        <v>17</v>
      </c>
      <c r="H4" s="5" t="s">
        <v>5</v>
      </c>
      <c r="I4" s="6" t="s">
        <v>6</v>
      </c>
      <c r="J4" s="4" t="s">
        <v>13</v>
      </c>
      <c r="K4" s="4" t="s">
        <v>12</v>
      </c>
      <c r="L4" s="4" t="s">
        <v>19</v>
      </c>
      <c r="M4" s="4" t="s">
        <v>23</v>
      </c>
      <c r="N4" s="4" t="s">
        <v>7</v>
      </c>
      <c r="O4" s="4" t="s">
        <v>8</v>
      </c>
      <c r="P4" s="4"/>
      <c r="Q4" s="4" t="s">
        <v>9</v>
      </c>
      <c r="R4" s="4" t="s">
        <v>6</v>
      </c>
      <c r="S4" s="4" t="s">
        <v>15</v>
      </c>
      <c r="T4" s="4" t="s">
        <v>12</v>
      </c>
      <c r="U4" s="4" t="s">
        <v>14</v>
      </c>
      <c r="V4" s="4" t="s">
        <v>10</v>
      </c>
      <c r="W4" s="4" t="s">
        <v>11</v>
      </c>
    </row>
    <row r="5" spans="1:82" ht="30" customHeight="1" thickBot="1" x14ac:dyDescent="0.3">
      <c r="A5" s="33"/>
      <c r="B5" s="34"/>
      <c r="C5" s="16"/>
      <c r="D5" s="35"/>
      <c r="E5" s="34"/>
      <c r="F5" s="34"/>
      <c r="G5" s="34"/>
      <c r="H5" s="36">
        <v>0.18</v>
      </c>
      <c r="I5" s="34"/>
      <c r="J5" s="36">
        <v>0.02</v>
      </c>
      <c r="K5" s="36">
        <v>0.05</v>
      </c>
      <c r="L5" s="36">
        <v>0</v>
      </c>
      <c r="M5" s="36">
        <v>0.1</v>
      </c>
      <c r="N5" s="36">
        <v>0.18</v>
      </c>
      <c r="O5" s="34"/>
      <c r="P5" s="9"/>
      <c r="Q5" s="34"/>
      <c r="R5" s="34"/>
      <c r="S5" s="36">
        <v>0.01</v>
      </c>
      <c r="T5" s="36">
        <v>0.05</v>
      </c>
      <c r="U5" s="34"/>
      <c r="V5" s="34"/>
      <c r="W5" s="34"/>
    </row>
    <row r="6" spans="1:82" s="41" customFormat="1" ht="30" customHeight="1" x14ac:dyDescent="0.25">
      <c r="A6" s="37">
        <v>58507</v>
      </c>
      <c r="B6" s="38"/>
      <c r="C6" s="17"/>
      <c r="D6" s="39"/>
      <c r="E6" s="38"/>
      <c r="F6" s="38"/>
      <c r="G6" s="38"/>
      <c r="H6" s="40"/>
      <c r="I6" s="38"/>
      <c r="J6" s="40"/>
      <c r="K6" s="40"/>
      <c r="L6" s="40"/>
      <c r="M6" s="40"/>
      <c r="N6" s="40"/>
      <c r="O6" s="38"/>
      <c r="P6" s="8">
        <f>A6</f>
        <v>58507</v>
      </c>
      <c r="Q6" s="38"/>
      <c r="R6" s="38"/>
      <c r="S6" s="40"/>
      <c r="T6" s="40"/>
      <c r="U6" s="38"/>
      <c r="V6" s="38"/>
      <c r="W6" s="38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2"/>
      <c r="AM6" s="22"/>
      <c r="AN6" s="22"/>
      <c r="AO6" s="22"/>
      <c r="AP6" s="22"/>
      <c r="AQ6" s="22"/>
      <c r="AR6" s="22"/>
      <c r="AS6" s="22"/>
      <c r="AT6" s="22"/>
      <c r="AU6" s="22"/>
      <c r="AV6" s="22"/>
      <c r="AW6" s="22"/>
      <c r="AX6" s="22"/>
      <c r="AY6" s="22"/>
      <c r="AZ6" s="22"/>
      <c r="BA6" s="22"/>
      <c r="BB6" s="22"/>
      <c r="BC6" s="22"/>
      <c r="BD6" s="22"/>
      <c r="BE6" s="22"/>
      <c r="BF6" s="22"/>
      <c r="BG6" s="22"/>
      <c r="BH6" s="22"/>
      <c r="BI6" s="22"/>
      <c r="BJ6" s="22"/>
      <c r="BK6" s="22"/>
      <c r="BL6" s="22"/>
      <c r="BM6" s="22"/>
      <c r="BN6" s="22"/>
      <c r="BO6" s="22"/>
      <c r="BP6" s="22"/>
      <c r="BQ6" s="22"/>
      <c r="BR6" s="22"/>
      <c r="BS6" s="22"/>
      <c r="BT6" s="22"/>
      <c r="BU6" s="22"/>
      <c r="BV6" s="22"/>
      <c r="BW6" s="22"/>
      <c r="BX6" s="22"/>
      <c r="BY6" s="22"/>
      <c r="BZ6" s="22"/>
      <c r="CA6" s="22"/>
      <c r="CB6" s="22"/>
      <c r="CC6" s="22"/>
      <c r="CD6" s="22"/>
    </row>
    <row r="7" spans="1:82" ht="30" customHeight="1" x14ac:dyDescent="0.25">
      <c r="A7" s="42"/>
      <c r="B7" s="2"/>
      <c r="C7" s="12"/>
      <c r="D7" s="10"/>
      <c r="E7" s="43"/>
      <c r="F7" s="43"/>
      <c r="G7" s="43"/>
      <c r="H7" s="43"/>
      <c r="I7" s="43"/>
      <c r="J7" s="43"/>
      <c r="K7" s="43"/>
      <c r="L7" s="43"/>
      <c r="M7" s="43"/>
      <c r="N7" s="43"/>
      <c r="O7" s="43"/>
      <c r="P7" s="7"/>
      <c r="Q7" s="43"/>
      <c r="R7" s="43"/>
      <c r="S7" s="43"/>
      <c r="T7" s="43"/>
      <c r="U7" s="43"/>
      <c r="V7" s="43"/>
      <c r="W7" s="44"/>
    </row>
    <row r="8" spans="1:82" ht="30" customHeight="1" x14ac:dyDescent="0.25">
      <c r="A8" s="42"/>
      <c r="B8" s="2"/>
      <c r="C8" s="12"/>
      <c r="D8" s="10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P8" s="7"/>
      <c r="Q8" s="43"/>
      <c r="R8" s="43"/>
      <c r="S8" s="43"/>
      <c r="T8" s="43"/>
      <c r="U8" s="43"/>
      <c r="V8" s="43"/>
      <c r="W8" s="44"/>
    </row>
    <row r="9" spans="1:82" ht="30" customHeight="1" x14ac:dyDescent="0.25">
      <c r="A9" s="42"/>
      <c r="B9" s="43"/>
      <c r="C9" s="18"/>
      <c r="D9" s="45"/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7"/>
      <c r="Q9" s="43"/>
      <c r="R9" s="43"/>
      <c r="S9" s="43"/>
      <c r="T9" s="43"/>
      <c r="U9" s="43"/>
      <c r="V9" s="43"/>
      <c r="W9" s="44"/>
    </row>
    <row r="10" spans="1:82" s="41" customFormat="1" ht="30" customHeight="1" x14ac:dyDescent="0.25">
      <c r="A10" s="37">
        <v>58506</v>
      </c>
      <c r="B10" s="38"/>
      <c r="C10" s="17"/>
      <c r="D10" s="39"/>
      <c r="E10" s="38"/>
      <c r="F10" s="38"/>
      <c r="G10" s="38"/>
      <c r="H10" s="40"/>
      <c r="I10" s="38"/>
      <c r="J10" s="40"/>
      <c r="K10" s="40"/>
      <c r="L10" s="40"/>
      <c r="M10" s="40"/>
      <c r="N10" s="40"/>
      <c r="O10" s="38"/>
      <c r="P10" s="8">
        <f>A10</f>
        <v>58506</v>
      </c>
      <c r="Q10" s="38"/>
      <c r="R10" s="38"/>
      <c r="S10" s="40"/>
      <c r="T10" s="40"/>
      <c r="U10" s="38"/>
      <c r="V10" s="38"/>
      <c r="W10" s="38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22"/>
      <c r="AU10" s="22"/>
      <c r="AV10" s="22"/>
      <c r="AW10" s="22"/>
      <c r="AX10" s="22"/>
      <c r="AY10" s="22"/>
      <c r="AZ10" s="22"/>
      <c r="BA10" s="22"/>
      <c r="BB10" s="22"/>
      <c r="BC10" s="22"/>
      <c r="BD10" s="22"/>
      <c r="BE10" s="22"/>
      <c r="BF10" s="22"/>
      <c r="BG10" s="22"/>
      <c r="BH10" s="22"/>
      <c r="BI10" s="22"/>
      <c r="BJ10" s="22"/>
      <c r="BK10" s="22"/>
      <c r="BL10" s="22"/>
      <c r="BM10" s="22"/>
      <c r="BN10" s="22"/>
      <c r="BO10" s="22"/>
      <c r="BP10" s="22"/>
      <c r="BQ10" s="22"/>
      <c r="BR10" s="22"/>
      <c r="BS10" s="22"/>
      <c r="BT10" s="22"/>
      <c r="BU10" s="22"/>
      <c r="BV10" s="22"/>
      <c r="BW10" s="22"/>
      <c r="BX10" s="22"/>
      <c r="BY10" s="22"/>
      <c r="BZ10" s="22"/>
      <c r="CA10" s="22"/>
      <c r="CB10" s="22"/>
      <c r="CC10" s="22"/>
      <c r="CD10" s="22"/>
    </row>
    <row r="11" spans="1:82" ht="30" customHeight="1" x14ac:dyDescent="0.25">
      <c r="A11" s="42"/>
      <c r="B11" s="2" t="s">
        <v>24</v>
      </c>
      <c r="C11" s="12">
        <v>45143</v>
      </c>
      <c r="D11" s="10">
        <v>2</v>
      </c>
      <c r="E11" s="43">
        <v>567000</v>
      </c>
      <c r="F11" s="43">
        <v>0</v>
      </c>
      <c r="G11" s="43">
        <f>ROUND(E11-F11,)</f>
        <v>567000</v>
      </c>
      <c r="H11" s="43">
        <f>ROUND(G11*$H$5,0)</f>
        <v>102060</v>
      </c>
      <c r="I11" s="43">
        <f>G11+H11</f>
        <v>669060</v>
      </c>
      <c r="J11" s="43">
        <f>ROUND(G11*$J$5,)</f>
        <v>11340</v>
      </c>
      <c r="K11" s="43">
        <f>ROUND(G11*$K$5,)</f>
        <v>28350</v>
      </c>
      <c r="L11" s="43">
        <f>ROUND(G11*$L$5,)</f>
        <v>0</v>
      </c>
      <c r="M11" s="43">
        <v>0</v>
      </c>
      <c r="N11" s="43">
        <f>H11</f>
        <v>102060</v>
      </c>
      <c r="O11" s="43">
        <f>ROUND(I11-SUM(J11:N11),0)</f>
        <v>527310</v>
      </c>
      <c r="P11" s="7"/>
      <c r="Q11" s="43" t="s">
        <v>35</v>
      </c>
      <c r="R11" s="43">
        <v>500000</v>
      </c>
      <c r="S11" s="43">
        <f>R11*$S$5</f>
        <v>5000</v>
      </c>
      <c r="T11" s="43">
        <v>0</v>
      </c>
      <c r="U11" s="43">
        <v>0</v>
      </c>
      <c r="V11" s="43">
        <v>490000</v>
      </c>
      <c r="W11" s="44" t="s">
        <v>34</v>
      </c>
    </row>
    <row r="12" spans="1:82" ht="30" customHeight="1" x14ac:dyDescent="0.25">
      <c r="A12" s="42"/>
      <c r="B12" s="2" t="s">
        <v>38</v>
      </c>
      <c r="C12" s="12">
        <v>45184</v>
      </c>
      <c r="D12" s="10">
        <v>2</v>
      </c>
      <c r="E12" s="43">
        <v>102060</v>
      </c>
      <c r="F12" s="43"/>
      <c r="G12" s="43">
        <f>ROUND(E12-F12,)</f>
        <v>102060</v>
      </c>
      <c r="H12" s="43"/>
      <c r="I12" s="43">
        <f>G12+H12</f>
        <v>102060</v>
      </c>
      <c r="J12" s="43"/>
      <c r="K12" s="43"/>
      <c r="L12" s="43"/>
      <c r="M12" s="43"/>
      <c r="N12" s="43"/>
      <c r="O12" s="43">
        <f>ROUND(I12-SUM(J12:N12),0)</f>
        <v>102060</v>
      </c>
      <c r="P12" s="7"/>
      <c r="Q12" s="43" t="s">
        <v>59</v>
      </c>
      <c r="R12" s="43">
        <v>102060</v>
      </c>
      <c r="S12" s="43">
        <v>0</v>
      </c>
      <c r="T12" s="43">
        <v>0</v>
      </c>
      <c r="U12" s="43">
        <v>0</v>
      </c>
      <c r="V12" s="43">
        <f t="shared" ref="V12:V13" si="0">R12-S12</f>
        <v>102060</v>
      </c>
      <c r="W12" s="44" t="s">
        <v>45</v>
      </c>
    </row>
    <row r="13" spans="1:82" ht="30" customHeight="1" x14ac:dyDescent="0.25">
      <c r="A13" s="42"/>
      <c r="B13" s="43"/>
      <c r="C13" s="18"/>
      <c r="D13" s="45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7"/>
      <c r="Q13" s="43" t="s">
        <v>60</v>
      </c>
      <c r="R13" s="43">
        <v>37310</v>
      </c>
      <c r="S13" s="43">
        <v>0</v>
      </c>
      <c r="T13" s="43">
        <v>0</v>
      </c>
      <c r="U13" s="43">
        <v>0</v>
      </c>
      <c r="V13" s="43">
        <f t="shared" si="0"/>
        <v>37310</v>
      </c>
      <c r="W13" s="44" t="s">
        <v>46</v>
      </c>
      <c r="X13" s="58">
        <f>SUM(O11:O13)-SUM(V11:V13)</f>
        <v>0</v>
      </c>
    </row>
    <row r="14" spans="1:82" s="41" customFormat="1" ht="30" customHeight="1" x14ac:dyDescent="0.25">
      <c r="A14" s="46">
        <v>58505</v>
      </c>
      <c r="B14" s="47"/>
      <c r="C14" s="19"/>
      <c r="D14" s="48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8">
        <f>A14</f>
        <v>58505</v>
      </c>
      <c r="Q14" s="47"/>
      <c r="R14" s="47"/>
      <c r="S14" s="47"/>
      <c r="T14" s="47"/>
      <c r="U14" s="47"/>
      <c r="V14" s="47"/>
      <c r="W14" s="46"/>
      <c r="X14" s="58">
        <f>SUM(O9:O14)-SUM(V9:V14)</f>
        <v>0</v>
      </c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  <c r="AY14" s="22"/>
      <c r="AZ14" s="22"/>
      <c r="BA14" s="22"/>
      <c r="BB14" s="22"/>
      <c r="BC14" s="22"/>
      <c r="BD14" s="22"/>
      <c r="BE14" s="22"/>
      <c r="BF14" s="22"/>
      <c r="BG14" s="22"/>
      <c r="BH14" s="22"/>
      <c r="BI14" s="22"/>
      <c r="BJ14" s="22"/>
      <c r="BK14" s="22"/>
      <c r="BL14" s="22"/>
      <c r="BM14" s="22"/>
      <c r="BN14" s="22"/>
      <c r="BO14" s="22"/>
      <c r="BP14" s="22"/>
      <c r="BQ14" s="22"/>
      <c r="BR14" s="22"/>
      <c r="BS14" s="22"/>
      <c r="BT14" s="22"/>
      <c r="BU14" s="22"/>
      <c r="BV14" s="22"/>
      <c r="BW14" s="22"/>
      <c r="BX14" s="22"/>
      <c r="BY14" s="22"/>
      <c r="BZ14" s="22"/>
      <c r="CA14" s="22"/>
      <c r="CB14" s="22"/>
      <c r="CC14" s="22"/>
      <c r="CD14" s="22"/>
    </row>
    <row r="15" spans="1:82" ht="30" customHeight="1" x14ac:dyDescent="0.25">
      <c r="A15" s="42">
        <v>1960000</v>
      </c>
      <c r="B15" s="43" t="s">
        <v>26</v>
      </c>
      <c r="C15" s="18">
        <v>45143</v>
      </c>
      <c r="D15" s="45">
        <v>3</v>
      </c>
      <c r="E15" s="43">
        <v>294000</v>
      </c>
      <c r="F15" s="43">
        <v>0</v>
      </c>
      <c r="G15" s="43">
        <v>294000</v>
      </c>
      <c r="H15" s="43">
        <v>52920</v>
      </c>
      <c r="I15" s="43">
        <v>346920</v>
      </c>
      <c r="J15" s="43">
        <v>5880</v>
      </c>
      <c r="K15" s="43">
        <f>G15*5%</f>
        <v>14700</v>
      </c>
      <c r="L15" s="43">
        <v>0</v>
      </c>
      <c r="M15" s="43">
        <v>0</v>
      </c>
      <c r="N15" s="43">
        <v>52920</v>
      </c>
      <c r="O15" s="43">
        <v>273420</v>
      </c>
      <c r="P15" s="7"/>
      <c r="Q15" s="43" t="s">
        <v>27</v>
      </c>
      <c r="R15" s="43">
        <v>400000</v>
      </c>
      <c r="S15" s="43">
        <v>8000</v>
      </c>
      <c r="T15" s="43">
        <v>0</v>
      </c>
      <c r="U15" s="43">
        <v>0</v>
      </c>
      <c r="V15" s="43">
        <v>392000</v>
      </c>
      <c r="W15" s="44" t="s">
        <v>28</v>
      </c>
    </row>
    <row r="16" spans="1:82" ht="30" customHeight="1" x14ac:dyDescent="0.25">
      <c r="A16" s="42"/>
      <c r="B16" s="2" t="s">
        <v>42</v>
      </c>
      <c r="C16" s="12">
        <v>45184</v>
      </c>
      <c r="D16" s="10">
        <v>3</v>
      </c>
      <c r="E16" s="43">
        <v>52920</v>
      </c>
      <c r="F16" s="43"/>
      <c r="G16" s="43"/>
      <c r="H16" s="43"/>
      <c r="I16" s="43"/>
      <c r="J16" s="43"/>
      <c r="K16" s="43"/>
      <c r="L16" s="43"/>
      <c r="M16" s="43"/>
      <c r="N16" s="43"/>
      <c r="O16" s="43">
        <f>E16</f>
        <v>52920</v>
      </c>
      <c r="P16" s="7"/>
      <c r="Q16" s="43" t="s">
        <v>51</v>
      </c>
      <c r="R16" s="43"/>
      <c r="S16" s="43"/>
      <c r="T16" s="43"/>
      <c r="U16" s="43"/>
      <c r="V16" s="43">
        <v>52920</v>
      </c>
      <c r="W16" s="44" t="s">
        <v>47</v>
      </c>
    </row>
    <row r="17" spans="1:82" ht="30" customHeight="1" x14ac:dyDescent="0.25">
      <c r="A17" s="42"/>
      <c r="B17" s="2" t="s">
        <v>26</v>
      </c>
      <c r="C17" s="49">
        <v>45234</v>
      </c>
      <c r="D17" s="10">
        <v>6</v>
      </c>
      <c r="E17" s="43">
        <v>294000</v>
      </c>
      <c r="F17" s="43">
        <v>0</v>
      </c>
      <c r="G17" s="43">
        <v>294000</v>
      </c>
      <c r="H17" s="43">
        <f>G17*18%</f>
        <v>52920</v>
      </c>
      <c r="I17" s="43">
        <f>G17+H17</f>
        <v>346920</v>
      </c>
      <c r="J17" s="43">
        <f>I17*1%</f>
        <v>3469.2000000000003</v>
      </c>
      <c r="K17" s="43">
        <f>G17*5%</f>
        <v>14700</v>
      </c>
      <c r="L17" s="43">
        <v>0</v>
      </c>
      <c r="M17" s="43">
        <f>I17*10%</f>
        <v>34692</v>
      </c>
      <c r="N17" s="43">
        <f>G17*18%</f>
        <v>52920</v>
      </c>
      <c r="O17" s="43">
        <v>246960</v>
      </c>
      <c r="P17" s="7"/>
      <c r="Q17" s="43" t="s">
        <v>50</v>
      </c>
      <c r="R17" s="43"/>
      <c r="S17" s="43"/>
      <c r="T17" s="43"/>
      <c r="U17" s="43"/>
      <c r="V17" s="43">
        <v>147000</v>
      </c>
      <c r="W17" s="44" t="s">
        <v>49</v>
      </c>
    </row>
    <row r="18" spans="1:82" ht="30" customHeight="1" x14ac:dyDescent="0.25">
      <c r="A18" s="42"/>
      <c r="B18" s="2" t="s">
        <v>38</v>
      </c>
      <c r="C18" s="12"/>
      <c r="D18" s="10">
        <v>6</v>
      </c>
      <c r="E18" s="43">
        <f>N17</f>
        <v>52920</v>
      </c>
      <c r="F18" s="43"/>
      <c r="G18" s="43"/>
      <c r="H18" s="43"/>
      <c r="I18" s="43"/>
      <c r="J18" s="43"/>
      <c r="K18" s="43"/>
      <c r="L18" s="43"/>
      <c r="M18" s="43"/>
      <c r="N18" s="43"/>
      <c r="O18" s="43">
        <f>E18</f>
        <v>52920</v>
      </c>
      <c r="P18" s="7"/>
      <c r="Q18" s="43"/>
      <c r="R18" s="43"/>
      <c r="S18" s="43"/>
      <c r="T18" s="43"/>
      <c r="U18" s="43"/>
      <c r="V18" s="43">
        <v>52920</v>
      </c>
      <c r="W18" s="56" t="s">
        <v>62</v>
      </c>
    </row>
    <row r="19" spans="1:82" ht="30" customHeight="1" x14ac:dyDescent="0.25">
      <c r="A19" s="42"/>
      <c r="B19" s="2" t="s">
        <v>26</v>
      </c>
      <c r="C19" s="12">
        <v>45328</v>
      </c>
      <c r="D19" s="10">
        <v>10</v>
      </c>
      <c r="E19" s="43">
        <f>A15*15%</f>
        <v>294000</v>
      </c>
      <c r="F19" s="43"/>
      <c r="G19" s="43">
        <v>294000</v>
      </c>
      <c r="H19" s="43">
        <f>G19*18%</f>
        <v>52920</v>
      </c>
      <c r="I19" s="43">
        <f>G19+H19</f>
        <v>346920</v>
      </c>
      <c r="J19" s="43">
        <v>5880</v>
      </c>
      <c r="K19" s="43">
        <f>G19*5%</f>
        <v>14700</v>
      </c>
      <c r="L19" s="43">
        <v>0</v>
      </c>
      <c r="M19" s="43"/>
      <c r="N19" s="43">
        <f>G19*18%</f>
        <v>52920</v>
      </c>
      <c r="O19" s="43">
        <f>I19-SUM(J19:N19)</f>
        <v>273420</v>
      </c>
      <c r="P19" s="7"/>
      <c r="Q19" s="43"/>
      <c r="R19" s="43"/>
      <c r="S19" s="43"/>
      <c r="T19" s="43"/>
      <c r="U19" s="43"/>
      <c r="V19" s="43">
        <v>251860</v>
      </c>
      <c r="W19" s="44" t="s">
        <v>68</v>
      </c>
    </row>
    <row r="20" spans="1:82" ht="30" customHeight="1" x14ac:dyDescent="0.25">
      <c r="A20" s="42"/>
      <c r="B20" s="2" t="s">
        <v>38</v>
      </c>
      <c r="C20" s="18"/>
      <c r="D20" s="45"/>
      <c r="E20" s="43">
        <f>N19</f>
        <v>52920</v>
      </c>
      <c r="F20" s="43"/>
      <c r="G20" s="43"/>
      <c r="H20" s="43"/>
      <c r="I20" s="43"/>
      <c r="J20" s="43"/>
      <c r="K20" s="43"/>
      <c r="L20" s="43"/>
      <c r="M20" s="43"/>
      <c r="N20" s="43"/>
      <c r="O20" s="43">
        <f>E20</f>
        <v>52920</v>
      </c>
      <c r="P20" s="7"/>
      <c r="Q20" s="43"/>
      <c r="R20" s="43"/>
      <c r="S20" s="43"/>
      <c r="T20" s="43"/>
      <c r="U20" s="43"/>
      <c r="V20" s="43">
        <v>52920</v>
      </c>
      <c r="W20" s="44" t="s">
        <v>69</v>
      </c>
      <c r="X20" s="58">
        <f>SUM(O15:O20)-SUM(V15:V20)</f>
        <v>2940</v>
      </c>
    </row>
    <row r="21" spans="1:82" s="41" customFormat="1" ht="30" customHeight="1" x14ac:dyDescent="0.25">
      <c r="A21" s="46">
        <v>58504</v>
      </c>
      <c r="B21" s="47"/>
      <c r="C21" s="19"/>
      <c r="D21" s="48"/>
      <c r="E21" s="47"/>
      <c r="F21" s="47"/>
      <c r="G21" s="47"/>
      <c r="H21" s="47"/>
      <c r="I21" s="47"/>
      <c r="J21" s="47"/>
      <c r="K21" s="47"/>
      <c r="L21" s="47"/>
      <c r="M21" s="47"/>
      <c r="N21" s="47"/>
      <c r="O21" s="47"/>
      <c r="P21" s="8">
        <f>A21</f>
        <v>58504</v>
      </c>
      <c r="Q21" s="47"/>
      <c r="R21" s="47"/>
      <c r="S21" s="47"/>
      <c r="T21" s="47"/>
      <c r="U21" s="47"/>
      <c r="V21" s="47"/>
      <c r="W21" s="46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AI21" s="22"/>
      <c r="AJ21" s="22"/>
      <c r="AK21" s="22"/>
      <c r="AL21" s="22"/>
      <c r="AM21" s="22"/>
      <c r="AN21" s="22"/>
      <c r="AO21" s="22"/>
      <c r="AP21" s="22"/>
      <c r="AQ21" s="22"/>
      <c r="AR21" s="22"/>
      <c r="AS21" s="22"/>
      <c r="AT21" s="22"/>
      <c r="AU21" s="22"/>
      <c r="AV21" s="22"/>
      <c r="AW21" s="22"/>
      <c r="AX21" s="22"/>
      <c r="AY21" s="22"/>
      <c r="AZ21" s="22"/>
      <c r="BA21" s="22"/>
      <c r="BB21" s="22"/>
      <c r="BC21" s="22"/>
      <c r="BD21" s="22"/>
      <c r="BE21" s="22"/>
      <c r="BF21" s="22"/>
      <c r="BG21" s="22"/>
      <c r="BH21" s="22"/>
      <c r="BI21" s="22"/>
      <c r="BJ21" s="22"/>
      <c r="BK21" s="22"/>
      <c r="BL21" s="22"/>
      <c r="BM21" s="22"/>
      <c r="BN21" s="22"/>
      <c r="BO21" s="22"/>
      <c r="BP21" s="22"/>
      <c r="BQ21" s="22"/>
      <c r="BR21" s="22"/>
      <c r="BS21" s="22"/>
      <c r="BT21" s="22"/>
      <c r="BU21" s="22"/>
      <c r="BV21" s="22"/>
      <c r="BW21" s="22"/>
      <c r="BX21" s="22"/>
      <c r="BY21" s="22"/>
      <c r="BZ21" s="22"/>
      <c r="CA21" s="22"/>
      <c r="CB21" s="22"/>
      <c r="CC21" s="22"/>
      <c r="CD21" s="22"/>
    </row>
    <row r="22" spans="1:82" ht="30" customHeight="1" x14ac:dyDescent="0.25">
      <c r="A22" s="42">
        <v>2598750</v>
      </c>
      <c r="B22" s="43" t="s">
        <v>29</v>
      </c>
      <c r="C22" s="18">
        <v>45143</v>
      </c>
      <c r="D22" s="45">
        <v>1</v>
      </c>
      <c r="E22" s="43">
        <v>389812.5</v>
      </c>
      <c r="F22" s="43">
        <v>0</v>
      </c>
      <c r="G22" s="43">
        <v>389813</v>
      </c>
      <c r="H22" s="43">
        <v>70166</v>
      </c>
      <c r="I22" s="43">
        <v>459979</v>
      </c>
      <c r="J22" s="43">
        <f>J5*G22</f>
        <v>7796.26</v>
      </c>
      <c r="K22" s="43">
        <f>K5*G22</f>
        <v>19490.650000000001</v>
      </c>
      <c r="L22" s="43">
        <v>0</v>
      </c>
      <c r="M22" s="43">
        <v>0</v>
      </c>
      <c r="N22" s="43">
        <v>70166</v>
      </c>
      <c r="O22" s="43">
        <f>G22-J22-K22</f>
        <v>362526.08999999997</v>
      </c>
      <c r="P22" s="7"/>
      <c r="Q22" s="43" t="s">
        <v>30</v>
      </c>
      <c r="R22" s="43">
        <v>200000</v>
      </c>
      <c r="S22" s="43">
        <f>R22*$S$5</f>
        <v>2000</v>
      </c>
      <c r="T22" s="43">
        <v>0</v>
      </c>
      <c r="U22" s="43">
        <v>0</v>
      </c>
      <c r="V22" s="43">
        <f>R22-S22</f>
        <v>198000</v>
      </c>
      <c r="W22" s="44" t="s">
        <v>31</v>
      </c>
    </row>
    <row r="23" spans="1:82" ht="30" customHeight="1" x14ac:dyDescent="0.25">
      <c r="A23" s="42"/>
      <c r="B23" s="43" t="s">
        <v>38</v>
      </c>
      <c r="C23" s="18">
        <v>45184</v>
      </c>
      <c r="D23" s="45">
        <v>1</v>
      </c>
      <c r="E23" s="43">
        <v>70166</v>
      </c>
      <c r="F23" s="43"/>
      <c r="G23" s="43">
        <f>ROUND(E23-F23,)</f>
        <v>70166</v>
      </c>
      <c r="H23" s="43"/>
      <c r="I23" s="43">
        <f>G23+H23</f>
        <v>70166</v>
      </c>
      <c r="J23" s="43"/>
      <c r="K23" s="43"/>
      <c r="L23" s="43"/>
      <c r="M23" s="43"/>
      <c r="N23" s="43"/>
      <c r="O23" s="43">
        <f>ROUND(I23-SUM(J23:N23),0)</f>
        <v>70166</v>
      </c>
      <c r="P23" s="7"/>
      <c r="Q23" s="43" t="s">
        <v>39</v>
      </c>
      <c r="R23" s="43">
        <v>166526</v>
      </c>
      <c r="S23" s="43">
        <v>0</v>
      </c>
      <c r="T23" s="43"/>
      <c r="U23" s="43"/>
      <c r="V23" s="43">
        <f t="shared" ref="V23:V26" si="1">R23-S23</f>
        <v>166526</v>
      </c>
      <c r="W23" s="44" t="s">
        <v>36</v>
      </c>
    </row>
    <row r="24" spans="1:82" ht="30" customHeight="1" x14ac:dyDescent="0.25">
      <c r="A24" s="42"/>
      <c r="B24" s="43" t="s">
        <v>29</v>
      </c>
      <c r="C24" s="18">
        <v>45234</v>
      </c>
      <c r="D24" s="45">
        <v>8</v>
      </c>
      <c r="E24" s="43">
        <v>389812</v>
      </c>
      <c r="F24" s="43">
        <v>0</v>
      </c>
      <c r="G24" s="43">
        <f>E24-F24</f>
        <v>389812</v>
      </c>
      <c r="H24" s="43">
        <f>G24*18%</f>
        <v>70166.16</v>
      </c>
      <c r="I24" s="43">
        <f>H24+G24</f>
        <v>459978.16000000003</v>
      </c>
      <c r="J24" s="43">
        <f>G24*2%</f>
        <v>7796.24</v>
      </c>
      <c r="K24" s="43">
        <f>G24*5%</f>
        <v>19490.600000000002</v>
      </c>
      <c r="L24" s="43">
        <v>0</v>
      </c>
      <c r="M24" s="43">
        <v>0</v>
      </c>
      <c r="N24" s="43">
        <f>H24</f>
        <v>70166.16</v>
      </c>
      <c r="O24" s="43">
        <f>I24-J24-K24-N24-M24-L24</f>
        <v>362525.16000000003</v>
      </c>
      <c r="P24" s="7"/>
      <c r="Q24" s="43" t="s">
        <v>43</v>
      </c>
      <c r="R24" s="43">
        <v>70166</v>
      </c>
      <c r="S24" s="42"/>
      <c r="T24" s="43"/>
      <c r="U24" s="43"/>
      <c r="V24" s="43">
        <f t="shared" si="1"/>
        <v>70166</v>
      </c>
      <c r="W24" s="44" t="s">
        <v>44</v>
      </c>
    </row>
    <row r="25" spans="1:82" ht="30" customHeight="1" x14ac:dyDescent="0.25">
      <c r="A25" s="42"/>
      <c r="B25" s="43" t="s">
        <v>38</v>
      </c>
      <c r="C25" s="18"/>
      <c r="D25" s="45">
        <v>8</v>
      </c>
      <c r="E25" s="43">
        <f>N24</f>
        <v>70166.16</v>
      </c>
      <c r="F25" s="43"/>
      <c r="G25" s="43"/>
      <c r="H25" s="43"/>
      <c r="I25" s="43"/>
      <c r="J25" s="43"/>
      <c r="K25" s="43"/>
      <c r="L25" s="43"/>
      <c r="M25" s="43"/>
      <c r="N25" s="43"/>
      <c r="O25" s="43">
        <f>E25</f>
        <v>70166.16</v>
      </c>
      <c r="P25" s="7"/>
      <c r="Q25" s="43" t="s">
        <v>57</v>
      </c>
      <c r="R25" s="43">
        <v>150000</v>
      </c>
      <c r="S25" s="42">
        <v>3000</v>
      </c>
      <c r="T25" s="43"/>
      <c r="U25" s="43"/>
      <c r="V25" s="43">
        <f t="shared" si="1"/>
        <v>147000</v>
      </c>
      <c r="W25" s="44" t="s">
        <v>55</v>
      </c>
      <c r="Y25" s="58"/>
    </row>
    <row r="26" spans="1:82" ht="30" customHeight="1" x14ac:dyDescent="0.25">
      <c r="A26" s="42"/>
      <c r="B26" s="43"/>
      <c r="C26" s="18">
        <v>45392</v>
      </c>
      <c r="D26" s="10">
        <v>3</v>
      </c>
      <c r="E26" s="43">
        <v>389812</v>
      </c>
      <c r="F26" s="43">
        <v>0</v>
      </c>
      <c r="G26" s="43">
        <f>E26-F26</f>
        <v>389812</v>
      </c>
      <c r="H26" s="43">
        <f>G26*18%</f>
        <v>70166.16</v>
      </c>
      <c r="I26" s="43">
        <f>G26+H26</f>
        <v>459978.16000000003</v>
      </c>
      <c r="J26" s="43">
        <f>G26*2%</f>
        <v>7796.24</v>
      </c>
      <c r="K26" s="43">
        <f>G26*5%</f>
        <v>19490.600000000002</v>
      </c>
      <c r="L26" s="43">
        <v>0</v>
      </c>
      <c r="M26" s="43"/>
      <c r="N26" s="43">
        <f>G26*18%</f>
        <v>70166.16</v>
      </c>
      <c r="O26" s="43">
        <f>I26-SUM(J26:N26)</f>
        <v>362525.16000000003</v>
      </c>
      <c r="P26" s="7"/>
      <c r="Q26" s="43" t="s">
        <v>58</v>
      </c>
      <c r="R26" s="43">
        <v>215526</v>
      </c>
      <c r="S26" s="42"/>
      <c r="T26" s="43"/>
      <c r="U26" s="43"/>
      <c r="V26" s="43">
        <f t="shared" si="1"/>
        <v>215526</v>
      </c>
      <c r="W26" s="44" t="s">
        <v>56</v>
      </c>
    </row>
    <row r="27" spans="1:82" ht="30" customHeight="1" x14ac:dyDescent="0.25">
      <c r="A27" s="42"/>
      <c r="B27" s="43"/>
      <c r="C27" s="18"/>
      <c r="D27" s="10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7"/>
      <c r="Q27" s="43"/>
      <c r="R27" s="43"/>
      <c r="S27" s="43"/>
      <c r="T27" s="43"/>
      <c r="U27" s="43"/>
      <c r="V27" s="43">
        <v>70166</v>
      </c>
      <c r="W27" s="44" t="s">
        <v>63</v>
      </c>
      <c r="X27" s="58">
        <f>SUM(O22:O27)-SUM(V22:V27)</f>
        <v>360524.57000000007</v>
      </c>
    </row>
    <row r="28" spans="1:82" ht="30" customHeight="1" x14ac:dyDescent="0.25">
      <c r="A28" s="42"/>
      <c r="B28" s="43"/>
      <c r="C28" s="18"/>
      <c r="D28" s="45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59"/>
      <c r="Q28" s="43"/>
      <c r="R28" s="43"/>
      <c r="S28" s="43"/>
      <c r="T28" s="43"/>
      <c r="U28" s="43"/>
      <c r="V28" s="43"/>
      <c r="W28" s="44"/>
      <c r="X28" s="58"/>
    </row>
    <row r="29" spans="1:82" s="41" customFormat="1" ht="30" customHeight="1" x14ac:dyDescent="0.25">
      <c r="A29" s="46">
        <v>58503</v>
      </c>
      <c r="B29" s="47"/>
      <c r="C29" s="19"/>
      <c r="D29" s="48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8">
        <f>A29</f>
        <v>58503</v>
      </c>
      <c r="Q29" s="47"/>
      <c r="R29" s="47"/>
      <c r="S29" s="47"/>
      <c r="T29" s="47"/>
      <c r="U29" s="47"/>
      <c r="V29" s="47"/>
      <c r="W29" s="46"/>
      <c r="X29" s="22"/>
      <c r="Y29" s="22"/>
      <c r="Z29" s="22"/>
      <c r="AA29" s="22"/>
      <c r="AB29" s="22"/>
      <c r="AC29" s="22"/>
      <c r="AD29" s="22"/>
      <c r="AE29" s="22"/>
      <c r="AF29" s="22"/>
      <c r="AG29" s="22"/>
      <c r="AH29" s="22"/>
      <c r="AI29" s="22"/>
      <c r="AJ29" s="22"/>
      <c r="AK29" s="22"/>
      <c r="AL29" s="22"/>
      <c r="AM29" s="22"/>
      <c r="AN29" s="22"/>
      <c r="AO29" s="22"/>
      <c r="AP29" s="22"/>
      <c r="AQ29" s="22"/>
      <c r="AR29" s="22"/>
      <c r="AS29" s="22"/>
      <c r="AT29" s="22"/>
      <c r="AU29" s="22"/>
      <c r="AV29" s="22"/>
      <c r="AW29" s="22"/>
      <c r="AX29" s="22"/>
      <c r="AY29" s="22"/>
      <c r="AZ29" s="22"/>
      <c r="BA29" s="22"/>
      <c r="BB29" s="22"/>
      <c r="BC29" s="22"/>
      <c r="BD29" s="22"/>
      <c r="BE29" s="22"/>
      <c r="BF29" s="22"/>
      <c r="BG29" s="22"/>
      <c r="BH29" s="22"/>
      <c r="BI29" s="22"/>
      <c r="BJ29" s="22"/>
      <c r="BK29" s="22"/>
      <c r="BL29" s="22"/>
      <c r="BM29" s="22"/>
      <c r="BN29" s="22"/>
      <c r="BO29" s="22"/>
      <c r="BP29" s="22"/>
      <c r="BQ29" s="22"/>
      <c r="BR29" s="22"/>
      <c r="BS29" s="22"/>
      <c r="BT29" s="22"/>
      <c r="BU29" s="22"/>
      <c r="BV29" s="22"/>
      <c r="BW29" s="22"/>
      <c r="BX29" s="22"/>
      <c r="BY29" s="22"/>
      <c r="BZ29" s="22"/>
      <c r="CA29" s="22"/>
      <c r="CB29" s="22"/>
      <c r="CC29" s="22"/>
      <c r="CD29" s="22"/>
    </row>
    <row r="30" spans="1:82" ht="30" customHeight="1" x14ac:dyDescent="0.25">
      <c r="A30" s="42"/>
      <c r="B30" s="43" t="s">
        <v>61</v>
      </c>
      <c r="C30" s="18">
        <v>45143</v>
      </c>
      <c r="D30" s="10">
        <v>4</v>
      </c>
      <c r="E30" s="43">
        <v>371250</v>
      </c>
      <c r="F30" s="43">
        <v>0</v>
      </c>
      <c r="G30" s="43">
        <v>371250</v>
      </c>
      <c r="H30" s="43">
        <v>66825</v>
      </c>
      <c r="I30" s="43">
        <v>438075</v>
      </c>
      <c r="J30" s="43">
        <v>7425</v>
      </c>
      <c r="K30" s="43">
        <v>18563</v>
      </c>
      <c r="L30" s="43">
        <v>0</v>
      </c>
      <c r="M30" s="43">
        <v>0</v>
      </c>
      <c r="N30" s="43">
        <v>66825</v>
      </c>
      <c r="O30" s="43">
        <v>345262</v>
      </c>
      <c r="P30" s="7"/>
      <c r="Q30" s="43" t="s">
        <v>32</v>
      </c>
      <c r="R30" s="43">
        <v>200000</v>
      </c>
      <c r="S30" s="43">
        <v>4000</v>
      </c>
      <c r="T30" s="43">
        <v>0</v>
      </c>
      <c r="U30" s="43">
        <v>0</v>
      </c>
      <c r="V30" s="43">
        <f>R30-S30</f>
        <v>196000</v>
      </c>
      <c r="W30" s="44" t="s">
        <v>33</v>
      </c>
    </row>
    <row r="31" spans="1:82" ht="30" customHeight="1" x14ac:dyDescent="0.25">
      <c r="A31" s="42">
        <v>2475000</v>
      </c>
      <c r="B31" s="2" t="s">
        <v>40</v>
      </c>
      <c r="C31" s="12">
        <v>45184</v>
      </c>
      <c r="D31" s="10">
        <v>4</v>
      </c>
      <c r="E31" s="43">
        <v>66825</v>
      </c>
      <c r="F31" s="43"/>
      <c r="G31" s="43">
        <f>ROUND(E31-F31,)</f>
        <v>66825</v>
      </c>
      <c r="H31" s="43"/>
      <c r="I31" s="43">
        <f>G31+H31</f>
        <v>66825</v>
      </c>
      <c r="J31" s="43"/>
      <c r="K31" s="43"/>
      <c r="L31" s="43"/>
      <c r="M31" s="43"/>
      <c r="N31" s="43">
        <f>H31</f>
        <v>0</v>
      </c>
      <c r="O31" s="43">
        <f>ROUND(I31-SUM(J31:N31),0)</f>
        <v>66825</v>
      </c>
      <c r="P31" s="7"/>
      <c r="Q31" s="43" t="s">
        <v>37</v>
      </c>
      <c r="R31" s="43">
        <v>149262</v>
      </c>
      <c r="S31" s="43">
        <v>0</v>
      </c>
      <c r="T31" s="43">
        <v>0</v>
      </c>
      <c r="U31" s="43">
        <v>0</v>
      </c>
      <c r="V31" s="43">
        <f t="shared" ref="V31:V33" si="2">R31-S31</f>
        <v>149262</v>
      </c>
      <c r="W31" s="44" t="s">
        <v>41</v>
      </c>
    </row>
    <row r="32" spans="1:82" ht="30" customHeight="1" x14ac:dyDescent="0.25">
      <c r="A32" s="42"/>
      <c r="B32" s="43"/>
      <c r="C32" s="18">
        <v>45234</v>
      </c>
      <c r="D32" s="10">
        <v>7</v>
      </c>
      <c r="E32" s="43">
        <v>371250</v>
      </c>
      <c r="F32" s="43">
        <v>0</v>
      </c>
      <c r="G32" s="43">
        <f>E32-F32</f>
        <v>371250</v>
      </c>
      <c r="H32" s="43">
        <f>G32*18%</f>
        <v>66825</v>
      </c>
      <c r="I32" s="43">
        <f>H32+G32</f>
        <v>438075</v>
      </c>
      <c r="J32" s="43">
        <f>G32*2%</f>
        <v>7425</v>
      </c>
      <c r="K32" s="43">
        <f>G32*5%</f>
        <v>18562.5</v>
      </c>
      <c r="L32" s="43">
        <v>0</v>
      </c>
      <c r="M32" s="43">
        <v>0</v>
      </c>
      <c r="N32" s="43">
        <f>H32</f>
        <v>66825</v>
      </c>
      <c r="O32" s="43">
        <f>I32-J32-K32-N32-M32-L32</f>
        <v>345262.5</v>
      </c>
      <c r="P32" s="7"/>
      <c r="Q32" s="43" t="s">
        <v>53</v>
      </c>
      <c r="R32" s="43">
        <v>66825</v>
      </c>
      <c r="S32" s="43"/>
      <c r="T32" s="43"/>
      <c r="U32" s="43"/>
      <c r="V32" s="43">
        <f t="shared" si="2"/>
        <v>66825</v>
      </c>
      <c r="W32" s="44" t="s">
        <v>48</v>
      </c>
    </row>
    <row r="33" spans="1:24" ht="30" customHeight="1" x14ac:dyDescent="0.25">
      <c r="A33" s="42"/>
      <c r="B33" s="2"/>
      <c r="C33" s="12">
        <v>45364</v>
      </c>
      <c r="D33" s="10">
        <v>11</v>
      </c>
      <c r="E33" s="43">
        <f>A31*15%</f>
        <v>371250</v>
      </c>
      <c r="F33" s="43">
        <v>0</v>
      </c>
      <c r="G33" s="43">
        <f>E33-F33</f>
        <v>371250</v>
      </c>
      <c r="H33" s="43">
        <f>G33*18%</f>
        <v>66825</v>
      </c>
      <c r="I33" s="43">
        <f>H33+G33</f>
        <v>438075</v>
      </c>
      <c r="J33" s="43">
        <f>G33*2%</f>
        <v>7425</v>
      </c>
      <c r="K33" s="43">
        <f>G33*5%</f>
        <v>18562.5</v>
      </c>
      <c r="L33" s="43">
        <v>0</v>
      </c>
      <c r="M33" s="43">
        <v>0</v>
      </c>
      <c r="N33" s="43">
        <f>H33</f>
        <v>66825</v>
      </c>
      <c r="O33" s="43">
        <f>I33-J33-K33-N33-M33-L33</f>
        <v>345262.5</v>
      </c>
      <c r="P33" s="7"/>
      <c r="Q33" s="43" t="s">
        <v>54</v>
      </c>
      <c r="R33" s="43">
        <v>150000</v>
      </c>
      <c r="S33" s="43">
        <v>3000</v>
      </c>
      <c r="T33" s="43"/>
      <c r="U33" s="43"/>
      <c r="V33" s="43">
        <f t="shared" si="2"/>
        <v>147000</v>
      </c>
      <c r="W33" s="43" t="s">
        <v>52</v>
      </c>
    </row>
    <row r="34" spans="1:24" ht="30" customHeight="1" x14ac:dyDescent="0.25">
      <c r="A34" s="43"/>
      <c r="B34" s="43" t="s">
        <v>38</v>
      </c>
      <c r="C34" s="18"/>
      <c r="D34" s="45">
        <v>7</v>
      </c>
      <c r="E34" s="43">
        <f>N32</f>
        <v>66825</v>
      </c>
      <c r="F34" s="43"/>
      <c r="G34" s="43"/>
      <c r="H34" s="43"/>
      <c r="I34" s="43"/>
      <c r="J34" s="43"/>
      <c r="K34" s="43"/>
      <c r="L34" s="43"/>
      <c r="M34" s="43"/>
      <c r="N34" s="43"/>
      <c r="O34" s="43">
        <f>E34</f>
        <v>66825</v>
      </c>
      <c r="P34" s="43"/>
      <c r="Q34" s="43"/>
      <c r="R34" s="43"/>
      <c r="S34" s="43"/>
      <c r="T34" s="43"/>
      <c r="U34" s="43"/>
      <c r="V34" s="43">
        <v>198262</v>
      </c>
      <c r="W34" s="43" t="s">
        <v>65</v>
      </c>
    </row>
    <row r="35" spans="1:24" ht="30" customHeight="1" x14ac:dyDescent="0.25">
      <c r="A35" s="50"/>
      <c r="B35" s="50" t="s">
        <v>38</v>
      </c>
      <c r="C35" s="20"/>
      <c r="D35" s="51">
        <v>11</v>
      </c>
      <c r="E35" s="50">
        <f>N33</f>
        <v>66825</v>
      </c>
      <c r="F35" s="50"/>
      <c r="G35" s="50"/>
      <c r="H35" s="50"/>
      <c r="I35" s="50"/>
      <c r="J35" s="50"/>
      <c r="K35" s="50"/>
      <c r="L35" s="50"/>
      <c r="M35" s="50"/>
      <c r="N35" s="50"/>
      <c r="O35" s="50">
        <f>E35</f>
        <v>66825</v>
      </c>
      <c r="P35" s="50"/>
      <c r="Q35" s="50"/>
      <c r="R35" s="50"/>
      <c r="S35" s="50"/>
      <c r="T35" s="50"/>
      <c r="U35" s="50"/>
      <c r="V35" s="50">
        <v>300000</v>
      </c>
      <c r="W35" s="50" t="s">
        <v>66</v>
      </c>
    </row>
    <row r="36" spans="1:24" ht="30" customHeight="1" x14ac:dyDescent="0.25">
      <c r="A36" s="50"/>
      <c r="B36" s="43" t="s">
        <v>61</v>
      </c>
      <c r="C36" s="18">
        <v>45143</v>
      </c>
      <c r="D36" s="10">
        <v>4</v>
      </c>
      <c r="E36" s="43">
        <v>247500</v>
      </c>
      <c r="F36" s="43">
        <v>0</v>
      </c>
      <c r="G36" s="43">
        <f>E36-F36</f>
        <v>247500</v>
      </c>
      <c r="H36" s="43">
        <f>G36*18%</f>
        <v>44550</v>
      </c>
      <c r="I36" s="43">
        <f>H36+G36</f>
        <v>292050</v>
      </c>
      <c r="J36" s="43">
        <f>G36*2%</f>
        <v>4950</v>
      </c>
      <c r="K36" s="43">
        <f>G36*5%</f>
        <v>12375</v>
      </c>
      <c r="L36" s="43">
        <v>0</v>
      </c>
      <c r="M36" s="43">
        <v>0</v>
      </c>
      <c r="N36" s="43">
        <f>H36</f>
        <v>44550</v>
      </c>
      <c r="O36" s="43">
        <f>I36-J36-K36-N36-M36-L36</f>
        <v>230175</v>
      </c>
      <c r="P36" s="50"/>
      <c r="Q36" s="50"/>
      <c r="R36" s="50"/>
      <c r="S36" s="50"/>
      <c r="T36" s="50"/>
      <c r="U36" s="50"/>
      <c r="V36" s="50">
        <v>66825</v>
      </c>
      <c r="W36" s="43" t="s">
        <v>67</v>
      </c>
    </row>
    <row r="37" spans="1:24" ht="30" customHeight="1" x14ac:dyDescent="0.25">
      <c r="A37" s="50"/>
      <c r="B37" s="50" t="s">
        <v>40</v>
      </c>
      <c r="C37" s="20"/>
      <c r="D37" s="51">
        <v>4</v>
      </c>
      <c r="E37" s="50">
        <f>H36</f>
        <v>44550</v>
      </c>
      <c r="F37" s="50"/>
      <c r="G37" s="50"/>
      <c r="H37" s="50"/>
      <c r="I37" s="50"/>
      <c r="J37" s="50"/>
      <c r="K37" s="50"/>
      <c r="L37" s="50"/>
      <c r="M37" s="50"/>
      <c r="N37" s="50"/>
      <c r="O37" s="50">
        <f>N36</f>
        <v>44550</v>
      </c>
      <c r="P37" s="50"/>
      <c r="Q37" s="50"/>
      <c r="R37" s="50"/>
      <c r="S37" s="50"/>
      <c r="T37" s="50"/>
      <c r="U37" s="50"/>
      <c r="V37" s="50">
        <v>230175</v>
      </c>
      <c r="W37" s="50" t="s">
        <v>70</v>
      </c>
    </row>
    <row r="38" spans="1:24" ht="30" customHeight="1" thickBot="1" x14ac:dyDescent="0.3">
      <c r="A38" s="50"/>
      <c r="B38" s="50"/>
      <c r="C38" s="20"/>
      <c r="D38" s="51"/>
      <c r="E38" s="50"/>
      <c r="F38" s="50"/>
      <c r="G38" s="50"/>
      <c r="H38" s="50"/>
      <c r="I38" s="50"/>
      <c r="J38" s="50"/>
      <c r="K38" s="50"/>
      <c r="L38" s="50"/>
      <c r="M38" s="50"/>
      <c r="N38" s="52"/>
      <c r="O38" s="50"/>
      <c r="P38" s="50"/>
      <c r="Q38" s="50"/>
      <c r="R38" s="50"/>
      <c r="S38" s="50"/>
      <c r="T38" s="50"/>
      <c r="U38" s="50"/>
      <c r="V38" s="50">
        <v>66825</v>
      </c>
      <c r="W38" s="43" t="s">
        <v>71</v>
      </c>
      <c r="X38" s="58">
        <f>SUM(O30:O38)-SUM(V30:V38)</f>
        <v>89813</v>
      </c>
    </row>
    <row r="39" spans="1:24" ht="30" customHeight="1" x14ac:dyDescent="0.25">
      <c r="A39" s="53"/>
      <c r="B39" s="53"/>
      <c r="C39" s="21"/>
      <c r="D39" s="54"/>
      <c r="E39" s="6">
        <f t="shared" ref="E39:N39" si="3">SUM(E5:E38)</f>
        <v>4625863.66</v>
      </c>
      <c r="F39" s="6">
        <f t="shared" si="3"/>
        <v>0</v>
      </c>
      <c r="G39" s="6">
        <f t="shared" si="3"/>
        <v>4218738</v>
      </c>
      <c r="H39" s="6">
        <f t="shared" si="3"/>
        <v>716343.5</v>
      </c>
      <c r="I39" s="6">
        <f t="shared" si="3"/>
        <v>4935081.32</v>
      </c>
      <c r="J39" s="6">
        <f t="shared" si="3"/>
        <v>77182.959999999992</v>
      </c>
      <c r="K39" s="6">
        <f t="shared" si="3"/>
        <v>198984.90000000002</v>
      </c>
      <c r="L39" s="6">
        <f t="shared" si="3"/>
        <v>0</v>
      </c>
      <c r="M39" s="6">
        <f t="shared" si="3"/>
        <v>34692.1</v>
      </c>
      <c r="N39" s="6">
        <f t="shared" si="3"/>
        <v>716343.5</v>
      </c>
      <c r="O39" s="6">
        <f>SUM(O5:O38)</f>
        <v>4320825.57</v>
      </c>
      <c r="P39" s="6"/>
      <c r="Q39" s="6"/>
      <c r="R39" s="6"/>
      <c r="S39" s="6"/>
      <c r="T39" s="6" t="s">
        <v>21</v>
      </c>
      <c r="U39" s="6"/>
      <c r="V39" s="6">
        <f>SUM(V5:V38)</f>
        <v>3867548</v>
      </c>
      <c r="W39" s="53"/>
    </row>
    <row r="40" spans="1:24" ht="30" customHeight="1" x14ac:dyDescent="0.25">
      <c r="A40" s="43"/>
      <c r="B40" s="43"/>
      <c r="C40" s="18"/>
      <c r="D40" s="45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</row>
    <row r="41" spans="1:24" ht="30" customHeight="1" x14ac:dyDescent="0.25">
      <c r="A41" s="43"/>
      <c r="B41" s="43"/>
      <c r="C41" s="18"/>
      <c r="D41" s="45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55" t="s">
        <v>20</v>
      </c>
      <c r="U41" s="43"/>
      <c r="V41" s="55">
        <f>O39-V39</f>
        <v>453277.5700000003</v>
      </c>
      <c r="W41" s="43"/>
      <c r="X41" s="22">
        <f>SUM(X6:X40)</f>
        <v>453277.57000000007</v>
      </c>
    </row>
    <row r="42" spans="1:24" ht="30" customHeight="1" thickBot="1" x14ac:dyDescent="0.3">
      <c r="A42" s="34"/>
      <c r="B42" s="34"/>
      <c r="C42" s="16"/>
      <c r="D42" s="35"/>
      <c r="E42" s="34"/>
      <c r="F42" s="34"/>
      <c r="G42" s="34"/>
      <c r="H42" s="34"/>
      <c r="I42" s="50"/>
      <c r="J42" s="50"/>
      <c r="K42" s="50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</row>
    <row r="43" spans="1:24" ht="30" customHeight="1" x14ac:dyDescent="0.25">
      <c r="A43" s="1"/>
      <c r="B43" s="1"/>
      <c r="C43" s="60"/>
      <c r="D43" s="61"/>
      <c r="E43" s="1"/>
      <c r="F43" s="1"/>
      <c r="G43" s="1"/>
      <c r="H43" s="1"/>
      <c r="I43" s="62"/>
      <c r="J43" s="62"/>
      <c r="K43" s="6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4" ht="30" customHeight="1" x14ac:dyDescent="0.25">
      <c r="A44" s="1"/>
      <c r="B44" s="1"/>
      <c r="C44" s="60"/>
      <c r="D44" s="61"/>
      <c r="E44" s="1"/>
      <c r="F44" s="1"/>
      <c r="G44" s="1"/>
      <c r="H44" s="1"/>
      <c r="I44" s="68" t="s">
        <v>25</v>
      </c>
      <c r="J44" s="69"/>
      <c r="K44" s="70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4" ht="30" customHeight="1" x14ac:dyDescent="0.25">
      <c r="I45" s="63" t="s">
        <v>75</v>
      </c>
      <c r="J45" s="64"/>
      <c r="K45" s="65"/>
    </row>
    <row r="46" spans="1:24" ht="30" customHeight="1" x14ac:dyDescent="0.25">
      <c r="I46" s="66" t="s">
        <v>72</v>
      </c>
      <c r="J46" s="71">
        <f>K39+M39</f>
        <v>233677.00000000003</v>
      </c>
      <c r="K46" s="72"/>
    </row>
    <row r="47" spans="1:24" ht="30" customHeight="1" x14ac:dyDescent="0.25">
      <c r="I47" s="66" t="s">
        <v>74</v>
      </c>
      <c r="J47" s="71">
        <f>V41</f>
        <v>453277.5700000003</v>
      </c>
      <c r="K47" s="72"/>
    </row>
    <row r="48" spans="1:24" ht="30" customHeight="1" x14ac:dyDescent="0.25">
      <c r="I48" s="67" t="s">
        <v>73</v>
      </c>
      <c r="J48" s="71">
        <f>N39-O35-O34-O31-O23-O20-O18-O16-O12-O25-O37</f>
        <v>70166.34</v>
      </c>
      <c r="K48" s="72"/>
    </row>
  </sheetData>
  <mergeCells count="5">
    <mergeCell ref="I45:K45"/>
    <mergeCell ref="I44:K44"/>
    <mergeCell ref="J46:K46"/>
    <mergeCell ref="J47:K47"/>
    <mergeCell ref="J48:K48"/>
  </mergeCells>
  <phoneticPr fontId="9" type="noConversion"/>
  <pageMargins left="0.70866141732283472" right="0.70866141732283472" top="0.74803149606299213" bottom="0.74803149606299213" header="0.31496062992125984" footer="0.31496062992125984"/>
  <pageSetup scale="3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2024-05-10T11:29:15Z</cp:lastPrinted>
  <dcterms:created xsi:type="dcterms:W3CDTF">2022-06-10T14:11:52Z</dcterms:created>
  <dcterms:modified xsi:type="dcterms:W3CDTF">2024-07-02T07:18:17Z</dcterms:modified>
</cp:coreProperties>
</file>