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1" documentId="13_ncr:1_{9D583029-2D25-4E49-8837-608DEE5D86E1}" xr6:coauthVersionLast="47" xr6:coauthVersionMax="47" xr10:uidLastSave="{868AF566-6E47-4AE6-AC94-FE1D69153B93}"/>
  <bookViews>
    <workbookView xWindow="-120" yWindow="-120" windowWidth="20730" windowHeight="11040" xr2:uid="{00000000-000D-0000-FFFF-FFFF00000000}"/>
  </bookViews>
  <sheets>
    <sheet name="Payment Reconciliation" sheetId="1" r:id="rId1"/>
    <sheet name="Balance sheet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J17" i="1" s="1"/>
  <c r="G18" i="1"/>
  <c r="J18" i="1" s="1"/>
  <c r="G19" i="1"/>
  <c r="J19" i="1" s="1"/>
  <c r="G20" i="1"/>
  <c r="J20" i="1" s="1"/>
  <c r="T14" i="1"/>
  <c r="G21" i="1"/>
  <c r="J21" i="1" s="1"/>
  <c r="G22" i="1"/>
  <c r="J22" i="1" s="1"/>
  <c r="N7" i="1"/>
  <c r="H17" i="1" l="1"/>
  <c r="I17" i="1" s="1"/>
  <c r="M17" i="1" s="1"/>
  <c r="H18" i="1"/>
  <c r="I18" i="1" s="1"/>
  <c r="M18" i="1" s="1"/>
  <c r="H19" i="1"/>
  <c r="I19" i="1" s="1"/>
  <c r="M19" i="1" s="1"/>
  <c r="H20" i="1"/>
  <c r="I20" i="1" s="1"/>
  <c r="M20" i="1" s="1"/>
  <c r="H21" i="1"/>
  <c r="I21" i="1" s="1"/>
  <c r="M21" i="1" s="1"/>
  <c r="H22" i="1"/>
  <c r="I22" i="1" s="1"/>
  <c r="M22" i="1" s="1"/>
  <c r="T10" i="1"/>
  <c r="H16" i="2" l="1"/>
  <c r="H10" i="2"/>
  <c r="H9" i="2"/>
  <c r="H8" i="2"/>
  <c r="H7" i="2"/>
  <c r="H6" i="2"/>
  <c r="H5" i="2"/>
  <c r="H22" i="2"/>
  <c r="G22" i="2"/>
  <c r="H21" i="2"/>
  <c r="G21" i="2"/>
  <c r="G20" i="2"/>
  <c r="H20" i="2"/>
  <c r="G19" i="2"/>
  <c r="H19" i="2"/>
  <c r="H18" i="2"/>
  <c r="G18" i="2"/>
  <c r="H17" i="2"/>
  <c r="G17" i="2"/>
  <c r="G10" i="2"/>
  <c r="G9" i="2"/>
  <c r="G8" i="2"/>
  <c r="G7" i="2"/>
  <c r="G6" i="2"/>
  <c r="G5" i="2"/>
  <c r="G11" i="2" s="1"/>
  <c r="G15" i="1"/>
  <c r="G23" i="2" l="1"/>
  <c r="G24" i="2" s="1"/>
  <c r="G25" i="2" s="1"/>
  <c r="H15" i="1"/>
  <c r="I15" i="1" s="1"/>
  <c r="J15" i="1"/>
  <c r="G12" i="2"/>
  <c r="G13" i="2" s="1"/>
  <c r="G14" i="1"/>
  <c r="J14" i="1" s="1"/>
  <c r="M15" i="1" l="1"/>
  <c r="H14" i="1"/>
  <c r="T15" i="1"/>
  <c r="T13" i="1"/>
  <c r="T23" i="1"/>
  <c r="T12" i="1"/>
  <c r="G16" i="1"/>
  <c r="J16" i="1" s="1"/>
  <c r="G13" i="1"/>
  <c r="J13" i="1" s="1"/>
  <c r="G12" i="1"/>
  <c r="J12" i="1" s="1"/>
  <c r="G11" i="1"/>
  <c r="J11" i="1" s="1"/>
  <c r="G10" i="1"/>
  <c r="J10" i="1" s="1"/>
  <c r="I14" i="1" l="1"/>
  <c r="M14" i="1" s="1"/>
  <c r="H16" i="1"/>
  <c r="I16" i="1" s="1"/>
  <c r="M16" i="1" s="1"/>
  <c r="H11" i="1"/>
  <c r="I11" i="1" s="1"/>
  <c r="M11" i="1" s="1"/>
  <c r="H13" i="1"/>
  <c r="I13" i="1" s="1"/>
  <c r="M13" i="1" s="1"/>
  <c r="H12" i="1"/>
  <c r="I12" i="1" s="1"/>
  <c r="M12" i="1" s="1"/>
  <c r="H10" i="1"/>
  <c r="I10" i="1" s="1"/>
  <c r="M10" i="1" s="1"/>
  <c r="G23" i="1"/>
  <c r="H23" i="1" l="1"/>
  <c r="I23" i="1" s="1"/>
  <c r="T11" i="1"/>
  <c r="G9" i="1"/>
  <c r="H9" i="1" s="1"/>
  <c r="G8" i="1"/>
  <c r="J9" i="1" s="1"/>
  <c r="J23" i="1" l="1"/>
  <c r="M23" i="1" s="1"/>
  <c r="H8" i="1"/>
  <c r="I8" i="1" s="1"/>
  <c r="I9" i="1"/>
  <c r="T9" i="1" l="1"/>
  <c r="M9" i="1"/>
  <c r="T8" i="1" s="1"/>
  <c r="T26" i="1" s="1"/>
  <c r="M8" i="1"/>
  <c r="M26" i="1" l="1"/>
  <c r="V8" i="1"/>
  <c r="T28" i="1"/>
</calcChain>
</file>

<file path=xl/sharedStrings.xml><?xml version="1.0" encoding="utf-8"?>
<sst xmlns="http://schemas.openxmlformats.org/spreadsheetml/2006/main" count="162" uniqueCount="86">
  <si>
    <t>Amount</t>
  </si>
  <si>
    <t>PAYMENT NOTE No.</t>
  </si>
  <si>
    <t>UTR</t>
  </si>
  <si>
    <t>SD (5%)</t>
  </si>
  <si>
    <t>1st month TDS 10%</t>
  </si>
  <si>
    <t>Total Payable Amount Rs. -</t>
  </si>
  <si>
    <t>Total Paid Amount Rs. -</t>
  </si>
  <si>
    <t>Balance Payable Amount Rs. -</t>
  </si>
  <si>
    <t>FHTC &amp; Hose Connection Material supplier</t>
  </si>
  <si>
    <t>Aiva Engineering Pvt. Ltd.</t>
  </si>
  <si>
    <t>GRN No.</t>
  </si>
  <si>
    <t>AEPL222320657</t>
  </si>
  <si>
    <t>AEPL222320651</t>
  </si>
  <si>
    <t>AEPL222320728</t>
  </si>
  <si>
    <t>RIUP22/1847</t>
  </si>
  <si>
    <t>RIUP22/1846</t>
  </si>
  <si>
    <t>AEPL222320760</t>
  </si>
  <si>
    <t>P.O. No. : SHAMLI/AIVA/FHTC MATERIAL/19629/2022-23 Date : 27-09-2022</t>
  </si>
  <si>
    <t>SR. No.</t>
  </si>
  <si>
    <t>Material Discription</t>
  </si>
  <si>
    <t>PP SERVICE SADDLE WITH SS304 THREADED METAL INSERTION and SS 202 Hardware</t>
  </si>
  <si>
    <t>Size</t>
  </si>
  <si>
    <t>200 mm SS202 Nut Bolt</t>
  </si>
  <si>
    <t>160 mm SS202 Nut Bolt</t>
  </si>
  <si>
    <t>110 mm SS202 Nut Bolt</t>
  </si>
  <si>
    <t>Flow Control Valve (5 LPM)</t>
  </si>
  <si>
    <t>1/2"</t>
  </si>
  <si>
    <t>MDPE Female Threaded compression Adaptor with SS304 metal insert</t>
  </si>
  <si>
    <t>MDPE Single compression Female threaded Elbow with SS304 metal insert</t>
  </si>
  <si>
    <t>Nos.</t>
  </si>
  <si>
    <t>Unit</t>
  </si>
  <si>
    <t>Qty.</t>
  </si>
  <si>
    <t>Rate</t>
  </si>
  <si>
    <t>Total Amount -</t>
  </si>
  <si>
    <t>Rs.</t>
  </si>
  <si>
    <t>GST 18%</t>
  </si>
  <si>
    <t>Total Amount including GST-</t>
  </si>
  <si>
    <t>Tax Invoice NO.</t>
  </si>
  <si>
    <t>Qty. Received</t>
  </si>
  <si>
    <t>Balance Qty.</t>
  </si>
  <si>
    <t>PP SERVICE SADDLE WITH SS304 THREADED METAL INSERTION</t>
  </si>
  <si>
    <t>90 mm SS202 Nut Bolt</t>
  </si>
  <si>
    <t>P.O. No. : SHAMLI/AIVA/MDPE (FHTC) FITTINGS/19864/2022-23 Date : 10-12-2022</t>
  </si>
  <si>
    <t>75 mm SS202 Nut Bolt</t>
  </si>
  <si>
    <t>63 mm SS202 Nut Bolt</t>
  </si>
  <si>
    <t>RIUP22/1918</t>
  </si>
  <si>
    <t>AEPL222320799</t>
  </si>
  <si>
    <t>RIUP22/2091</t>
  </si>
  <si>
    <t>AEPL222320777</t>
  </si>
  <si>
    <t>AEPL222320780</t>
  </si>
  <si>
    <t>AEPL222320837</t>
  </si>
  <si>
    <t>AEPL222320847</t>
  </si>
  <si>
    <t>RIUP22/2662</t>
  </si>
  <si>
    <t>RIUP22/237</t>
  </si>
  <si>
    <t>RIUP22/1731</t>
  </si>
  <si>
    <t>RIUP22/2371</t>
  </si>
  <si>
    <t>Subcontractor:</t>
  </si>
  <si>
    <t>State:</t>
  </si>
  <si>
    <t>District:</t>
  </si>
  <si>
    <t>Block:</t>
  </si>
  <si>
    <t>Uttar Pradesh</t>
  </si>
  <si>
    <t>Shamli</t>
  </si>
  <si>
    <t>common village FHTC Material supply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</si>
  <si>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</si>
  <si>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</si>
  <si>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</si>
  <si>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</si>
  <si>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</si>
  <si>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</si>
  <si>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</si>
  <si>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</si>
  <si>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</si>
  <si>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</si>
  <si>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</si>
  <si>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</si>
  <si>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</si>
  <si>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</si>
  <si>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</si>
  <si>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12-01-2023 NEFT/AXISP00354428533/RIUP22/1847/AIVA ENGINEERIN214307.00</t>
  </si>
  <si>
    <t>12-01-2023 NEFT/AXISP00354510362/RIUP22/1846/AIVA ENGINEERIN6141813.00</t>
  </si>
  <si>
    <t>25-01-2023 NEFT/AXISP00357166384/RIUP22/1918/AIVA ENGINEERIN ₹14,64,861.00</t>
  </si>
  <si>
    <t>04-02-2023 NEFT/AXISP00360451650/RIUP22/2091/AIVA ENGINEERIN ₹13,57,972.00</t>
  </si>
  <si>
    <t>29-03-2023 NEFT/AXISP00376153296/RIUP22/2662/AIVA ENGINEERIN3407857.00</t>
  </si>
  <si>
    <t>29-05-2023 NEFT/AXISP00393029883/RIUP23/237/AIVA ENGINEERING1654198.00</t>
  </si>
  <si>
    <t>28-08-2023 NEFT/AXISP00418849250/RIUP23/1731/AIVA ENGINEERINGP/MAHB00011402696418.00</t>
  </si>
  <si>
    <t>30-09-2023 NEFT/AXISP00429227609/RIUP23/2371/AIVA ENGINEERING P/MAHB0001140429274.00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</si>
</sst>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_(* #,##0.00_);_(* \(#,##0.00\);_(* &quot;-&quot;??_);_(@_)"/>
    <numFmt numFmtId="165" formatCode="0.000"/>
    <numFmt numFmtId="166" formatCode="_(* #,##0_);_(* \(#,##0\);_(* &quot;-&quot;??_);_(@_)"/>
    <numFmt numFmtId="167" formatCode="[$-F800]dddd\,\ mmmm\ dd\,\ 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0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 wrapText="1"/>
    </xf>
    <xf numFmtId="165" fontId="0" fillId="2" borderId="0" xfId="0" applyNumberFormat="1" applyFill="1" applyAlignment="1">
      <alignment vertical="center"/>
    </xf>
    <xf numFmtId="43" fontId="0" fillId="2" borderId="0" xfId="0" applyNumberFormat="1" applyFill="1" applyAlignment="1">
      <alignment vertical="center"/>
    </xf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66" fontId="6" fillId="0" borderId="4" xfId="0" applyNumberFormat="1" applyFont="1" applyBorder="1" applyAlignment="1">
      <alignment horizontal="center" vertical="center" wrapText="1"/>
    </xf>
    <xf numFmtId="164" fontId="6" fillId="0" borderId="4" xfId="1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6" fillId="0" borderId="4" xfId="0" applyFont="1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66" fontId="0" fillId="0" borderId="4" xfId="0" applyNumberFormat="1" applyBorder="1" applyAlignment="1">
      <alignment vertical="center"/>
    </xf>
    <xf numFmtId="164" fontId="0" fillId="0" borderId="4" xfId="1" applyFont="1" applyBorder="1" applyAlignment="1">
      <alignment vertical="center"/>
    </xf>
    <xf numFmtId="0" fontId="0" fillId="0" borderId="4" xfId="0" applyBorder="1" applyAlignment="1">
      <alignment vertical="center" wrapText="1"/>
    </xf>
    <xf numFmtId="166" fontId="0" fillId="0" borderId="4" xfId="1" applyNumberFormat="1" applyFont="1" applyBorder="1" applyAlignment="1">
      <alignment vertical="center"/>
    </xf>
    <xf numFmtId="166" fontId="0" fillId="0" borderId="4" xfId="1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166" fontId="6" fillId="0" borderId="4" xfId="1" applyNumberFormat="1" applyFont="1" applyBorder="1" applyAlignment="1">
      <alignment vertical="center"/>
    </xf>
    <xf numFmtId="0" fontId="6" fillId="0" borderId="4" xfId="0" applyFont="1" applyBorder="1"/>
    <xf numFmtId="2" fontId="0" fillId="0" borderId="4" xfId="0" applyNumberFormat="1" applyBorder="1" applyAlignment="1">
      <alignment vertical="center"/>
    </xf>
    <xf numFmtId="164" fontId="0" fillId="0" borderId="4" xfId="0" applyNumberFormat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10" fontId="3" fillId="3" borderId="3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horizontal="right" vertical="center"/>
    </xf>
    <xf numFmtId="0" fontId="5" fillId="2" borderId="7" xfId="0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10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4" fontId="0" fillId="2" borderId="0" xfId="0" applyNumberFormat="1" applyFill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8" xfId="0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164" fontId="8" fillId="2" borderId="8" xfId="1" applyFont="1" applyFill="1" applyBorder="1" applyAlignment="1">
      <alignment horizontal="center" vertical="center"/>
    </xf>
    <xf numFmtId="164" fontId="6" fillId="2" borderId="8" xfId="1" applyFont="1" applyFill="1" applyBorder="1" applyAlignment="1">
      <alignment horizontal="center" vertical="center"/>
    </xf>
    <xf numFmtId="167" fontId="0" fillId="2" borderId="0" xfId="0" applyNumberFormat="1" applyFill="1" applyAlignment="1">
      <alignment vertical="center"/>
    </xf>
    <xf numFmtId="167" fontId="2" fillId="2" borderId="0" xfId="1" applyNumberFormat="1" applyFont="1" applyFill="1" applyBorder="1" applyAlignment="1">
      <alignment vertical="center"/>
    </xf>
    <xf numFmtId="167" fontId="3" fillId="2" borderId="2" xfId="0" applyNumberFormat="1" applyFont="1" applyFill="1" applyBorder="1" applyAlignment="1">
      <alignment vertical="center"/>
    </xf>
    <xf numFmtId="167" fontId="6" fillId="2" borderId="8" xfId="0" applyNumberFormat="1" applyFont="1" applyFill="1" applyBorder="1" applyAlignment="1">
      <alignment horizontal="center" vertical="center"/>
    </xf>
    <xf numFmtId="167" fontId="3" fillId="2" borderId="6" xfId="1" applyNumberFormat="1" applyFont="1" applyFill="1" applyBorder="1" applyAlignment="1">
      <alignment vertical="center"/>
    </xf>
    <xf numFmtId="167" fontId="3" fillId="3" borderId="3" xfId="1" applyNumberFormat="1" applyFont="1" applyFill="1" applyBorder="1" applyAlignment="1">
      <alignment vertical="center"/>
    </xf>
    <xf numFmtId="167" fontId="3" fillId="2" borderId="5" xfId="0" applyNumberFormat="1" applyFont="1" applyFill="1" applyBorder="1" applyAlignment="1">
      <alignment horizontal="center" vertical="center"/>
    </xf>
    <xf numFmtId="167" fontId="3" fillId="2" borderId="5" xfId="1" applyNumberFormat="1" applyFont="1" applyFill="1" applyBorder="1" applyAlignment="1">
      <alignment vertical="center"/>
    </xf>
    <xf numFmtId="167" fontId="3" fillId="2" borderId="7" xfId="0" applyNumberFormat="1" applyFont="1" applyFill="1" applyBorder="1" applyAlignment="1">
      <alignment horizontal="center" vertical="center"/>
    </xf>
    <xf numFmtId="167" fontId="3" fillId="2" borderId="8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34"/>
  <sheetViews>
    <sheetView tabSelected="1" zoomScale="93" zoomScaleNormal="93" workbookViewId="0">
      <selection activeCell="T16" sqref="T16"/>
    </sheetView>
  </sheetViews>
  <sheetFormatPr defaultColWidth="9" defaultRowHeight="15" x14ac:dyDescent="0.25"/>
  <cols>
    <col min="1" max="1" width="9" style="2"/>
    <col min="2" max="2" width="30" style="2" customWidth="1"/>
    <col min="3" max="3" width="16.42578125" style="70" bestFit="1" customWidth="1"/>
    <col min="4" max="4" width="18.5703125" style="2" customWidth="1"/>
    <col min="5" max="5" width="14.5703125" style="2" bestFit="1" customWidth="1"/>
    <col min="6" max="6" width="7.28515625" style="2" bestFit="1" customWidth="1"/>
    <col min="7" max="7" width="13.28515625" style="2" customWidth="1"/>
    <col min="8" max="8" width="12.28515625" style="15" customWidth="1"/>
    <col min="9" max="9" width="13.85546875" style="15" customWidth="1"/>
    <col min="10" max="10" width="9.7109375" style="2" bestFit="1" customWidth="1"/>
    <col min="11" max="11" width="8.7109375" style="2" bestFit="1" customWidth="1"/>
    <col min="12" max="12" width="14.28515625" style="2" bestFit="1" customWidth="1"/>
    <col min="13" max="13" width="17.85546875" style="2" customWidth="1"/>
    <col min="14" max="14" width="10.85546875" style="2" bestFit="1" customWidth="1"/>
    <col min="15" max="15" width="21.5703125" style="2" bestFit="1" customWidth="1"/>
    <col min="16" max="16" width="13.42578125" style="2" bestFit="1" customWidth="1"/>
    <col min="17" max="17" width="14.5703125" style="2" bestFit="1" customWidth="1"/>
    <col min="18" max="18" width="8.7109375" style="2" bestFit="1" customWidth="1"/>
    <col min="19" max="19" width="14" style="2" bestFit="1" customWidth="1"/>
    <col min="20" max="20" width="18" style="2" customWidth="1"/>
    <col min="21" max="21" width="94.42578125" style="2" bestFit="1" customWidth="1"/>
    <col min="22" max="22" width="10.28515625" style="2" bestFit="1" customWidth="1"/>
    <col min="23" max="16384" width="9" style="2"/>
  </cols>
  <sheetData>
    <row r="1" spans="1:54" ht="15.75" thickBot="1" x14ac:dyDescent="0.3">
      <c r="A1" s="64" t="s">
        <v>56</v>
      </c>
      <c r="B1" s="1" t="s">
        <v>9</v>
      </c>
      <c r="E1" s="3"/>
      <c r="F1" s="3"/>
      <c r="G1" s="3"/>
      <c r="H1" s="4"/>
      <c r="I1" s="4"/>
    </row>
    <row r="2" spans="1:54" ht="21.75" thickBot="1" x14ac:dyDescent="0.3">
      <c r="A2" s="64" t="s">
        <v>57</v>
      </c>
      <c r="B2" s="5" t="s">
        <v>60</v>
      </c>
      <c r="C2" s="71"/>
      <c r="D2" s="6" t="s">
        <v>9</v>
      </c>
      <c r="H2" s="2" t="s">
        <v>8</v>
      </c>
      <c r="I2" s="7"/>
      <c r="J2" s="8"/>
      <c r="K2" s="8"/>
      <c r="L2" s="8"/>
      <c r="M2" s="8"/>
      <c r="N2" s="8"/>
      <c r="O2" s="8"/>
      <c r="P2" s="8"/>
      <c r="Q2" s="8"/>
      <c r="R2" s="8"/>
      <c r="S2" s="8"/>
    </row>
    <row r="3" spans="1:54" ht="21.75" thickBot="1" x14ac:dyDescent="0.3">
      <c r="A3" s="64" t="s">
        <v>58</v>
      </c>
      <c r="B3" s="63" t="s">
        <v>61</v>
      </c>
      <c r="C3" s="71"/>
      <c r="D3" s="6"/>
      <c r="H3" s="2"/>
      <c r="I3" s="7"/>
      <c r="J3" s="8"/>
      <c r="K3" s="8"/>
      <c r="L3" s="8"/>
      <c r="M3" s="8"/>
      <c r="N3" s="8"/>
      <c r="O3" s="8"/>
      <c r="P3" s="8"/>
      <c r="Q3" s="8"/>
      <c r="R3" s="8"/>
      <c r="S3" s="8"/>
    </row>
    <row r="4" spans="1:54" ht="15.75" thickBot="1" x14ac:dyDescent="0.3">
      <c r="A4" s="64" t="s">
        <v>59</v>
      </c>
      <c r="B4" s="9" t="s">
        <v>61</v>
      </c>
      <c r="C4" s="72"/>
      <c r="D4" s="9"/>
      <c r="E4" s="9"/>
      <c r="F4" s="8"/>
      <c r="G4" s="8"/>
      <c r="H4" s="10"/>
      <c r="I4" s="10"/>
      <c r="J4" s="8"/>
      <c r="K4" s="8"/>
      <c r="N4" s="62">
        <v>45496</v>
      </c>
      <c r="O4" s="8"/>
      <c r="P4" s="11"/>
      <c r="Q4" s="11"/>
      <c r="R4" s="11"/>
      <c r="S4" s="11"/>
      <c r="T4" s="11"/>
      <c r="U4" s="11"/>
    </row>
    <row r="5" spans="1:54" s="16" customFormat="1" ht="43.9" customHeight="1" x14ac:dyDescent="0.25">
      <c r="A5" s="65" t="s">
        <v>63</v>
      </c>
      <c r="B5" s="66" t="s">
        <v>64</v>
      </c>
      <c r="C5" s="73" t="s">
        <v>65</v>
      </c>
      <c r="D5" s="67" t="s">
        <v>66</v>
      </c>
      <c r="E5" s="66" t="s">
        <v>67</v>
      </c>
      <c r="F5" s="66" t="s">
        <v>68</v>
      </c>
      <c r="G5" s="67" t="s">
        <v>69</v>
      </c>
      <c r="H5" s="68" t="s">
        <v>70</v>
      </c>
      <c r="I5" s="69" t="s">
        <v>0</v>
      </c>
      <c r="J5" s="66" t="s">
        <v>71</v>
      </c>
      <c r="K5" s="66" t="s">
        <v>72</v>
      </c>
      <c r="L5" s="43" t="s">
        <v>73</v>
      </c>
      <c r="M5" s="43" t="s">
        <v>74</v>
      </c>
      <c r="N5" s="43" t="s">
        <v>10</v>
      </c>
      <c r="O5" s="43" t="s">
        <v>1</v>
      </c>
      <c r="P5" s="66" t="s">
        <v>75</v>
      </c>
      <c r="Q5" s="66" t="s">
        <v>76</v>
      </c>
      <c r="R5" s="43" t="s">
        <v>3</v>
      </c>
      <c r="S5" s="43" t="s">
        <v>4</v>
      </c>
      <c r="T5" s="66" t="s">
        <v>77</v>
      </c>
      <c r="U5" s="66" t="s">
        <v>2</v>
      </c>
    </row>
    <row r="6" spans="1:54" ht="15.75" thickBot="1" x14ac:dyDescent="0.3">
      <c r="A6" s="58"/>
      <c r="B6" s="14"/>
      <c r="C6" s="74"/>
      <c r="D6" s="14"/>
      <c r="E6" s="14"/>
      <c r="F6" s="14"/>
      <c r="G6" s="14"/>
      <c r="H6" s="59">
        <v>0.18</v>
      </c>
      <c r="I6" s="14"/>
      <c r="J6" s="60">
        <v>1E-3</v>
      </c>
      <c r="K6" s="59">
        <v>0.05</v>
      </c>
      <c r="L6" s="14"/>
      <c r="M6" s="14"/>
      <c r="N6" s="61"/>
      <c r="O6" s="14"/>
      <c r="P6" s="14"/>
      <c r="Q6" s="59">
        <v>0.1</v>
      </c>
      <c r="R6" s="59">
        <v>0.05</v>
      </c>
      <c r="S6" s="14"/>
      <c r="T6" s="14"/>
      <c r="U6" s="14"/>
    </row>
    <row r="7" spans="1:54" s="40" customFormat="1" x14ac:dyDescent="0.25">
      <c r="A7" s="55"/>
      <c r="B7" s="41"/>
      <c r="C7" s="75"/>
      <c r="D7" s="41"/>
      <c r="E7" s="41"/>
      <c r="F7" s="41"/>
      <c r="G7" s="41"/>
      <c r="H7" s="56"/>
      <c r="I7" s="41"/>
      <c r="J7" s="42"/>
      <c r="K7" s="56"/>
      <c r="L7" s="41"/>
      <c r="M7" s="41"/>
      <c r="N7" s="57">
        <f>A8</f>
        <v>52615</v>
      </c>
      <c r="O7" s="41"/>
      <c r="P7" s="41"/>
      <c r="Q7" s="56"/>
      <c r="R7" s="56"/>
      <c r="S7" s="41"/>
      <c r="T7" s="41"/>
      <c r="U7" s="41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</row>
    <row r="8" spans="1:54" ht="30" customHeight="1" x14ac:dyDescent="0.25">
      <c r="A8" s="44">
        <v>52615</v>
      </c>
      <c r="B8" s="46" t="s">
        <v>62</v>
      </c>
      <c r="C8" s="76">
        <v>44903</v>
      </c>
      <c r="D8" s="47" t="s">
        <v>11</v>
      </c>
      <c r="E8" s="12">
        <v>1456600</v>
      </c>
      <c r="F8" s="12">
        <v>0</v>
      </c>
      <c r="G8" s="12">
        <f>E8-F8</f>
        <v>1456600</v>
      </c>
      <c r="H8" s="12">
        <f t="shared" ref="H8:H9" si="0">ROUND(G8*$H$6,)</f>
        <v>262188</v>
      </c>
      <c r="I8" s="12">
        <f>G8+H8</f>
        <v>1718788</v>
      </c>
      <c r="J8" s="12">
        <v>0</v>
      </c>
      <c r="K8" s="12">
        <v>0</v>
      </c>
      <c r="L8" s="12">
        <v>0</v>
      </c>
      <c r="M8" s="12">
        <f>I8-SUM(J8:L8)</f>
        <v>1718788</v>
      </c>
      <c r="N8" s="45">
        <v>1028</v>
      </c>
      <c r="O8" s="12" t="s">
        <v>14</v>
      </c>
      <c r="P8" s="12">
        <v>214307</v>
      </c>
      <c r="Q8" s="12">
        <v>0</v>
      </c>
      <c r="R8" s="12">
        <v>0</v>
      </c>
      <c r="S8" s="12">
        <v>0</v>
      </c>
      <c r="T8" s="12">
        <f t="shared" ref="T8" si="1">P8-Q8</f>
        <v>214307</v>
      </c>
      <c r="U8" s="48" t="s">
        <v>78</v>
      </c>
      <c r="V8" s="18">
        <f>SUM(M8:M24)-SUM(T8:T24)</f>
        <v>-2663</v>
      </c>
    </row>
    <row r="9" spans="1:54" ht="30" customHeight="1" x14ac:dyDescent="0.25">
      <c r="A9" s="44">
        <v>52615</v>
      </c>
      <c r="B9" s="46" t="s">
        <v>62</v>
      </c>
      <c r="C9" s="76">
        <v>44901</v>
      </c>
      <c r="D9" s="47" t="s">
        <v>12</v>
      </c>
      <c r="E9" s="12">
        <v>3748500</v>
      </c>
      <c r="F9" s="12">
        <v>0</v>
      </c>
      <c r="G9" s="12">
        <f>E9-F9</f>
        <v>3748500</v>
      </c>
      <c r="H9" s="12">
        <f t="shared" si="0"/>
        <v>674730</v>
      </c>
      <c r="I9" s="12">
        <f>G9+H9</f>
        <v>4423230</v>
      </c>
      <c r="J9" s="12">
        <f>ROUND((G8+G9-5000000)*0.1%,)</f>
        <v>205</v>
      </c>
      <c r="K9" s="12">
        <v>0</v>
      </c>
      <c r="L9" s="12">
        <v>0</v>
      </c>
      <c r="M9" s="12">
        <f>I9-SUM(J9:L9)</f>
        <v>4423025</v>
      </c>
      <c r="N9" s="45">
        <v>1027</v>
      </c>
      <c r="O9" s="12" t="s">
        <v>15</v>
      </c>
      <c r="P9" s="12">
        <v>6141813</v>
      </c>
      <c r="Q9" s="12">
        <v>0</v>
      </c>
      <c r="R9" s="12">
        <v>0</v>
      </c>
      <c r="S9" s="12">
        <v>0</v>
      </c>
      <c r="T9" s="12">
        <f>P9-Q9-R9-S9</f>
        <v>6141813</v>
      </c>
      <c r="U9" s="48" t="s">
        <v>79</v>
      </c>
    </row>
    <row r="10" spans="1:54" ht="30" customHeight="1" x14ac:dyDescent="0.25">
      <c r="A10" s="44">
        <v>52615</v>
      </c>
      <c r="B10" s="46" t="s">
        <v>62</v>
      </c>
      <c r="C10" s="76">
        <v>44921</v>
      </c>
      <c r="D10" s="47" t="s">
        <v>13</v>
      </c>
      <c r="E10" s="12">
        <v>181770</v>
      </c>
      <c r="F10" s="12">
        <v>0</v>
      </c>
      <c r="G10" s="12">
        <f>E10-F10</f>
        <v>181770</v>
      </c>
      <c r="H10" s="12">
        <f t="shared" ref="H10:H23" si="2">ROUND(G10*$H$6,)</f>
        <v>32719</v>
      </c>
      <c r="I10" s="12">
        <f>G10+H10</f>
        <v>214489</v>
      </c>
      <c r="J10" s="12">
        <f>ROUND(G10*$J$6,)</f>
        <v>182</v>
      </c>
      <c r="K10" s="12">
        <v>0</v>
      </c>
      <c r="L10" s="12">
        <v>0</v>
      </c>
      <c r="M10" s="12">
        <f>I10-SUM(J10:L10)</f>
        <v>214307</v>
      </c>
      <c r="N10" s="45">
        <v>1045</v>
      </c>
      <c r="O10" s="12" t="s">
        <v>45</v>
      </c>
      <c r="P10" s="12">
        <v>1464861</v>
      </c>
      <c r="Q10" s="12">
        <v>0</v>
      </c>
      <c r="R10" s="12">
        <v>0</v>
      </c>
      <c r="S10" s="12">
        <v>0</v>
      </c>
      <c r="T10" s="12">
        <f>P10-Q10-R10-S10</f>
        <v>1464861</v>
      </c>
      <c r="U10" s="48" t="s">
        <v>80</v>
      </c>
    </row>
    <row r="11" spans="1:54" ht="30" customHeight="1" x14ac:dyDescent="0.25">
      <c r="A11" s="44">
        <v>52615</v>
      </c>
      <c r="B11" s="46" t="s">
        <v>62</v>
      </c>
      <c r="C11" s="76">
        <v>44926</v>
      </c>
      <c r="D11" s="47" t="s">
        <v>16</v>
      </c>
      <c r="E11" s="12">
        <v>1242460</v>
      </c>
      <c r="F11" s="12">
        <v>0</v>
      </c>
      <c r="G11" s="12">
        <f>E11-F11</f>
        <v>1242460</v>
      </c>
      <c r="H11" s="12">
        <f t="shared" si="2"/>
        <v>223643</v>
      </c>
      <c r="I11" s="12">
        <f>G11+H11</f>
        <v>1466103</v>
      </c>
      <c r="J11" s="12">
        <f>ROUND(G11*$J$6,)</f>
        <v>1242</v>
      </c>
      <c r="K11" s="12">
        <v>0</v>
      </c>
      <c r="L11" s="12">
        <v>0</v>
      </c>
      <c r="M11" s="12">
        <f>I11-SUM(J11:L11)</f>
        <v>1464861</v>
      </c>
      <c r="N11" s="45">
        <v>1048</v>
      </c>
      <c r="O11" s="12" t="s">
        <v>47</v>
      </c>
      <c r="P11" s="12">
        <v>1359124</v>
      </c>
      <c r="Q11" s="12">
        <v>1152</v>
      </c>
      <c r="R11" s="12">
        <v>0</v>
      </c>
      <c r="S11" s="12">
        <v>0</v>
      </c>
      <c r="T11" s="12">
        <f>P11-Q11-R11-S11</f>
        <v>1357972</v>
      </c>
      <c r="U11" s="48" t="s">
        <v>81</v>
      </c>
    </row>
    <row r="12" spans="1:54" ht="30" customHeight="1" x14ac:dyDescent="0.25">
      <c r="A12" s="44">
        <v>52615</v>
      </c>
      <c r="B12" s="46" t="s">
        <v>62</v>
      </c>
      <c r="C12" s="76">
        <v>44945</v>
      </c>
      <c r="D12" s="47" t="s">
        <v>46</v>
      </c>
      <c r="E12" s="12">
        <v>1151800</v>
      </c>
      <c r="F12" s="12">
        <v>0</v>
      </c>
      <c r="G12" s="12">
        <f t="shared" ref="G12:G17" si="3">E12-F12</f>
        <v>1151800</v>
      </c>
      <c r="H12" s="12">
        <f t="shared" si="2"/>
        <v>207324</v>
      </c>
      <c r="I12" s="12">
        <f t="shared" ref="I12:I17" si="4">G12+H12</f>
        <v>1359124</v>
      </c>
      <c r="J12" s="12">
        <f>ROUND(G12*$J$6,)</f>
        <v>1152</v>
      </c>
      <c r="K12" s="12">
        <v>0</v>
      </c>
      <c r="L12" s="12">
        <v>0</v>
      </c>
      <c r="M12" s="12">
        <f t="shared" ref="M12:M23" si="5">I12-SUM(J12:L12)</f>
        <v>1357972</v>
      </c>
      <c r="N12" s="45"/>
      <c r="O12" s="12" t="s">
        <v>52</v>
      </c>
      <c r="P12" s="12">
        <v>3407857</v>
      </c>
      <c r="Q12" s="12">
        <v>0</v>
      </c>
      <c r="R12" s="12">
        <v>0</v>
      </c>
      <c r="S12" s="12">
        <v>0</v>
      </c>
      <c r="T12" s="12">
        <f>P12-Q12-R12-S12</f>
        <v>3407857</v>
      </c>
      <c r="U12" s="48" t="s">
        <v>82</v>
      </c>
    </row>
    <row r="13" spans="1:54" ht="30" customHeight="1" x14ac:dyDescent="0.25">
      <c r="A13" s="44">
        <v>52615</v>
      </c>
      <c r="B13" s="46" t="s">
        <v>62</v>
      </c>
      <c r="C13" s="76">
        <v>44933</v>
      </c>
      <c r="D13" s="47" t="s">
        <v>48</v>
      </c>
      <c r="E13" s="12">
        <v>539967</v>
      </c>
      <c r="F13" s="12">
        <v>0</v>
      </c>
      <c r="G13" s="12">
        <f t="shared" si="3"/>
        <v>539967</v>
      </c>
      <c r="H13" s="12">
        <f t="shared" si="2"/>
        <v>97194</v>
      </c>
      <c r="I13" s="12">
        <f t="shared" si="4"/>
        <v>637161</v>
      </c>
      <c r="J13" s="12">
        <f t="shared" ref="J13:J17" si="6">ROUND(G13*$J$6,)</f>
        <v>540</v>
      </c>
      <c r="K13" s="12">
        <v>0</v>
      </c>
      <c r="L13" s="12">
        <v>0</v>
      </c>
      <c r="M13" s="12">
        <f t="shared" ref="M13:M17" si="7">I13-SUM(J13:L13)</f>
        <v>636621</v>
      </c>
      <c r="N13" s="45"/>
      <c r="O13" s="12" t="s">
        <v>53</v>
      </c>
      <c r="P13" s="12">
        <v>1654198</v>
      </c>
      <c r="Q13" s="12">
        <v>0</v>
      </c>
      <c r="R13" s="12">
        <v>0</v>
      </c>
      <c r="S13" s="12">
        <v>0</v>
      </c>
      <c r="T13" s="12">
        <f t="shared" ref="T13:T23" si="8">P13-Q13-R13-S13</f>
        <v>1654198</v>
      </c>
      <c r="U13" s="48" t="s">
        <v>83</v>
      </c>
    </row>
    <row r="14" spans="1:54" ht="30" customHeight="1" x14ac:dyDescent="0.25">
      <c r="A14" s="44">
        <v>52615</v>
      </c>
      <c r="B14" s="46" t="s">
        <v>62</v>
      </c>
      <c r="C14" s="76">
        <v>44935</v>
      </c>
      <c r="D14" s="47" t="s">
        <v>49</v>
      </c>
      <c r="E14" s="12">
        <v>856002</v>
      </c>
      <c r="F14" s="12">
        <v>0</v>
      </c>
      <c r="G14" s="12">
        <f t="shared" ref="G14:G15" si="9">E14-F14</f>
        <v>856002</v>
      </c>
      <c r="H14" s="12">
        <f t="shared" si="2"/>
        <v>154080</v>
      </c>
      <c r="I14" s="12">
        <f>G14+H14</f>
        <v>1010082</v>
      </c>
      <c r="J14" s="12">
        <f t="shared" si="6"/>
        <v>856</v>
      </c>
      <c r="K14" s="12">
        <v>0</v>
      </c>
      <c r="L14" s="12">
        <v>0</v>
      </c>
      <c r="M14" s="12">
        <f t="shared" si="7"/>
        <v>1009226</v>
      </c>
      <c r="N14" s="45"/>
      <c r="O14" s="12" t="s">
        <v>54</v>
      </c>
      <c r="P14" s="12">
        <v>2696418</v>
      </c>
      <c r="Q14" s="12"/>
      <c r="R14" s="12"/>
      <c r="S14" s="12"/>
      <c r="T14" s="12">
        <f t="shared" si="8"/>
        <v>2696418</v>
      </c>
      <c r="U14" s="48" t="s">
        <v>84</v>
      </c>
    </row>
    <row r="15" spans="1:54" ht="30" customHeight="1" x14ac:dyDescent="0.25">
      <c r="A15" s="44">
        <v>52615</v>
      </c>
      <c r="B15" s="46" t="s">
        <v>62</v>
      </c>
      <c r="C15" s="76">
        <v>44985</v>
      </c>
      <c r="D15" s="47" t="s">
        <v>50</v>
      </c>
      <c r="E15" s="12">
        <v>1122675</v>
      </c>
      <c r="F15" s="12">
        <v>0</v>
      </c>
      <c r="G15" s="12">
        <f t="shared" si="9"/>
        <v>1122675</v>
      </c>
      <c r="H15" s="12">
        <f t="shared" si="2"/>
        <v>202082</v>
      </c>
      <c r="I15" s="12">
        <f t="shared" ref="I15" si="10">G15+H15</f>
        <v>1324757</v>
      </c>
      <c r="J15" s="12">
        <f t="shared" si="6"/>
        <v>1123</v>
      </c>
      <c r="K15" s="12">
        <v>0</v>
      </c>
      <c r="L15" s="12">
        <v>0</v>
      </c>
      <c r="M15" s="12">
        <f t="shared" si="7"/>
        <v>1323634</v>
      </c>
      <c r="N15" s="45"/>
      <c r="O15" s="12" t="s">
        <v>55</v>
      </c>
      <c r="P15" s="12">
        <v>429274</v>
      </c>
      <c r="Q15" s="12"/>
      <c r="R15" s="12"/>
      <c r="S15" s="12"/>
      <c r="T15" s="12">
        <f t="shared" si="8"/>
        <v>429274</v>
      </c>
      <c r="U15" s="48" t="s">
        <v>85</v>
      </c>
    </row>
    <row r="16" spans="1:54" ht="30" customHeight="1" x14ac:dyDescent="0.25">
      <c r="A16" s="44">
        <v>52615</v>
      </c>
      <c r="B16" s="46" t="s">
        <v>62</v>
      </c>
      <c r="C16" s="76">
        <v>44958</v>
      </c>
      <c r="D16" s="47" t="s">
        <v>51</v>
      </c>
      <c r="E16" s="12">
        <v>371819</v>
      </c>
      <c r="F16" s="12">
        <v>0</v>
      </c>
      <c r="G16" s="12">
        <f t="shared" si="3"/>
        <v>371819</v>
      </c>
      <c r="H16" s="12">
        <f t="shared" si="2"/>
        <v>66927</v>
      </c>
      <c r="I16" s="12">
        <f t="shared" si="4"/>
        <v>438746</v>
      </c>
      <c r="J16" s="12">
        <f t="shared" si="6"/>
        <v>372</v>
      </c>
      <c r="K16" s="12">
        <v>0</v>
      </c>
      <c r="L16" s="12">
        <v>0</v>
      </c>
      <c r="M16" s="12">
        <f t="shared" si="7"/>
        <v>438374</v>
      </c>
      <c r="N16" s="45"/>
      <c r="O16" s="12"/>
      <c r="P16" s="12"/>
      <c r="Q16" s="12">
        <v>0</v>
      </c>
      <c r="R16" s="12"/>
      <c r="S16" s="12"/>
      <c r="T16" s="12"/>
      <c r="U16" s="48"/>
    </row>
    <row r="17" spans="1:21" ht="30" customHeight="1" x14ac:dyDescent="0.25">
      <c r="A17" s="44">
        <v>52615</v>
      </c>
      <c r="B17" s="46" t="s">
        <v>62</v>
      </c>
      <c r="C17" s="76">
        <v>44991</v>
      </c>
      <c r="D17" s="47" t="s">
        <v>51</v>
      </c>
      <c r="E17" s="12">
        <v>652073</v>
      </c>
      <c r="F17" s="12">
        <v>0</v>
      </c>
      <c r="G17" s="12">
        <f t="shared" si="3"/>
        <v>652073</v>
      </c>
      <c r="H17" s="12">
        <f t="shared" si="2"/>
        <v>117373</v>
      </c>
      <c r="I17" s="12">
        <f t="shared" si="4"/>
        <v>769446</v>
      </c>
      <c r="J17" s="12">
        <f t="shared" si="6"/>
        <v>652</v>
      </c>
      <c r="K17" s="12">
        <v>0</v>
      </c>
      <c r="L17" s="12">
        <v>0</v>
      </c>
      <c r="M17" s="12">
        <f t="shared" si="7"/>
        <v>768794</v>
      </c>
      <c r="N17" s="45"/>
      <c r="O17" s="12"/>
      <c r="P17" s="12"/>
      <c r="Q17" s="12"/>
      <c r="R17" s="12"/>
      <c r="S17" s="12"/>
      <c r="T17" s="12"/>
      <c r="U17" s="48"/>
    </row>
    <row r="18" spans="1:21" ht="30" customHeight="1" x14ac:dyDescent="0.25">
      <c r="A18" s="44">
        <v>52615</v>
      </c>
      <c r="B18" s="46" t="s">
        <v>62</v>
      </c>
      <c r="C18" s="76">
        <v>44999</v>
      </c>
      <c r="D18" s="47" t="s">
        <v>51</v>
      </c>
      <c r="E18" s="12">
        <v>375330</v>
      </c>
      <c r="F18" s="12">
        <v>0</v>
      </c>
      <c r="G18" s="12">
        <f t="shared" ref="G18" si="11">E18-F18</f>
        <v>375330</v>
      </c>
      <c r="H18" s="12">
        <f t="shared" ref="H18" si="12">ROUND(G18*$H$6,)</f>
        <v>67559</v>
      </c>
      <c r="I18" s="12">
        <f t="shared" ref="I18" si="13">G18+H18</f>
        <v>442889</v>
      </c>
      <c r="J18" s="12">
        <f t="shared" ref="J18" si="14">ROUND(G18*$J$6,)</f>
        <v>375</v>
      </c>
      <c r="K18" s="12">
        <v>0</v>
      </c>
      <c r="L18" s="12">
        <v>0</v>
      </c>
      <c r="M18" s="12">
        <f t="shared" ref="M18" si="15">I18-SUM(J18:L18)</f>
        <v>442514</v>
      </c>
      <c r="N18" s="45"/>
      <c r="O18" s="12"/>
      <c r="P18" s="12"/>
      <c r="Q18" s="12"/>
      <c r="R18" s="12"/>
      <c r="S18" s="12"/>
      <c r="T18" s="12"/>
      <c r="U18" s="48"/>
    </row>
    <row r="19" spans="1:21" ht="30" customHeight="1" x14ac:dyDescent="0.25">
      <c r="A19" s="44">
        <v>52615</v>
      </c>
      <c r="B19" s="46" t="s">
        <v>62</v>
      </c>
      <c r="C19" s="76">
        <v>45021</v>
      </c>
      <c r="D19" s="47" t="s">
        <v>51</v>
      </c>
      <c r="E19" s="12">
        <v>375330</v>
      </c>
      <c r="F19" s="12">
        <v>0</v>
      </c>
      <c r="G19" s="12">
        <f t="shared" ref="G19" si="16">E19-F19</f>
        <v>375330</v>
      </c>
      <c r="H19" s="12">
        <f t="shared" ref="H19" si="17">ROUND(G19*$H$6,)</f>
        <v>67559</v>
      </c>
      <c r="I19" s="12">
        <f t="shared" ref="I19" si="18">G19+H19</f>
        <v>442889</v>
      </c>
      <c r="J19" s="12">
        <f t="shared" ref="J19" si="19">ROUND(G19*$J$6,)</f>
        <v>375</v>
      </c>
      <c r="K19" s="12">
        <v>0</v>
      </c>
      <c r="L19" s="12">
        <v>0</v>
      </c>
      <c r="M19" s="12">
        <f t="shared" ref="M19" si="20">I19-SUM(J19:L19)</f>
        <v>442514</v>
      </c>
      <c r="N19" s="45"/>
      <c r="O19" s="12"/>
      <c r="P19" s="12"/>
      <c r="Q19" s="12"/>
      <c r="R19" s="12"/>
      <c r="S19" s="12"/>
      <c r="T19" s="12"/>
      <c r="U19" s="48"/>
    </row>
    <row r="20" spans="1:21" ht="30" customHeight="1" x14ac:dyDescent="0.25">
      <c r="A20" s="44">
        <v>52615</v>
      </c>
      <c r="B20" s="46" t="s">
        <v>62</v>
      </c>
      <c r="C20" s="76">
        <v>45143</v>
      </c>
      <c r="D20" s="47" t="s">
        <v>51</v>
      </c>
      <c r="E20" s="12">
        <v>2084130</v>
      </c>
      <c r="F20" s="12">
        <v>0</v>
      </c>
      <c r="G20" s="12">
        <f t="shared" ref="G20" si="21">E20-F20</f>
        <v>2084130</v>
      </c>
      <c r="H20" s="12">
        <f t="shared" ref="H20" si="22">ROUND(G20*$H$6,)</f>
        <v>375143</v>
      </c>
      <c r="I20" s="12">
        <f t="shared" ref="I20" si="23">G20+H20</f>
        <v>2459273</v>
      </c>
      <c r="J20" s="12">
        <f t="shared" ref="J20" si="24">ROUND(G20*$J$6,)</f>
        <v>2084</v>
      </c>
      <c r="K20" s="12">
        <v>0</v>
      </c>
      <c r="L20" s="12">
        <v>0</v>
      </c>
      <c r="M20" s="12">
        <f t="shared" ref="M20" si="25">I20-SUM(J20:L20)</f>
        <v>2457189</v>
      </c>
      <c r="N20" s="45"/>
      <c r="O20" s="12"/>
      <c r="P20" s="12"/>
      <c r="Q20" s="12"/>
      <c r="R20" s="12"/>
      <c r="S20" s="12"/>
      <c r="T20" s="12"/>
      <c r="U20" s="48"/>
    </row>
    <row r="21" spans="1:21" ht="30" customHeight="1" x14ac:dyDescent="0.25">
      <c r="A21" s="44">
        <v>52615</v>
      </c>
      <c r="B21" s="46" t="s">
        <v>62</v>
      </c>
      <c r="C21" s="76">
        <v>45145</v>
      </c>
      <c r="D21" s="47" t="s">
        <v>51</v>
      </c>
      <c r="E21" s="12">
        <v>200970</v>
      </c>
      <c r="F21" s="12">
        <v>0</v>
      </c>
      <c r="G21" s="12">
        <f t="shared" ref="G21" si="26">E21-F21</f>
        <v>200970</v>
      </c>
      <c r="H21" s="12">
        <f t="shared" ref="H21" si="27">ROUND(G21*$H$6,)</f>
        <v>36175</v>
      </c>
      <c r="I21" s="12">
        <f t="shared" ref="I21" si="28">G21+H21</f>
        <v>237145</v>
      </c>
      <c r="J21" s="12">
        <f t="shared" ref="J21" si="29">ROUND(G21*$J$6,)</f>
        <v>201</v>
      </c>
      <c r="K21" s="12">
        <v>0</v>
      </c>
      <c r="L21" s="12">
        <v>0</v>
      </c>
      <c r="M21" s="12">
        <f t="shared" ref="M21" si="30">I21-SUM(J21:L21)</f>
        <v>236944</v>
      </c>
      <c r="N21" s="45"/>
      <c r="O21" s="12"/>
      <c r="P21" s="12"/>
      <c r="Q21" s="12"/>
      <c r="R21" s="12"/>
      <c r="S21" s="12"/>
      <c r="T21" s="12"/>
      <c r="U21" s="48"/>
    </row>
    <row r="22" spans="1:21" ht="30" customHeight="1" x14ac:dyDescent="0.25">
      <c r="A22" s="44">
        <v>52615</v>
      </c>
      <c r="B22" s="46" t="s">
        <v>62</v>
      </c>
      <c r="C22" s="76">
        <v>45167</v>
      </c>
      <c r="D22" s="47" t="s">
        <v>51</v>
      </c>
      <c r="E22" s="12">
        <v>364100</v>
      </c>
      <c r="F22" s="12">
        <v>0</v>
      </c>
      <c r="G22" s="12">
        <f t="shared" ref="G22" si="31">E22-F22</f>
        <v>364100</v>
      </c>
      <c r="H22" s="12">
        <f t="shared" ref="H22" si="32">ROUND(G22*$H$6,)</f>
        <v>65538</v>
      </c>
      <c r="I22" s="12">
        <f t="shared" ref="I22" si="33">G22+H22</f>
        <v>429638</v>
      </c>
      <c r="J22" s="12">
        <f t="shared" ref="J22" si="34">ROUND(G22*$J$6,)</f>
        <v>364</v>
      </c>
      <c r="K22" s="12">
        <v>0</v>
      </c>
      <c r="L22" s="12">
        <v>0</v>
      </c>
      <c r="M22" s="12">
        <f t="shared" ref="M22" si="35">I22-SUM(J22:L22)</f>
        <v>429274</v>
      </c>
      <c r="N22" s="45"/>
      <c r="O22" s="12"/>
      <c r="P22" s="12"/>
      <c r="Q22" s="12"/>
      <c r="R22" s="12"/>
      <c r="S22" s="12"/>
      <c r="T22" s="12"/>
      <c r="U22" s="48"/>
    </row>
    <row r="23" spans="1:21" ht="30" customHeight="1" x14ac:dyDescent="0.25">
      <c r="A23" s="44">
        <v>52615</v>
      </c>
      <c r="B23" s="46"/>
      <c r="C23" s="76"/>
      <c r="D23" s="47"/>
      <c r="E23" s="12"/>
      <c r="F23" s="12">
        <v>0</v>
      </c>
      <c r="G23" s="12">
        <f>E23-F23</f>
        <v>0</v>
      </c>
      <c r="H23" s="12">
        <f t="shared" si="2"/>
        <v>0</v>
      </c>
      <c r="I23" s="12">
        <f>G23+H23</f>
        <v>0</v>
      </c>
      <c r="J23" s="12">
        <f>J$6*I23</f>
        <v>0</v>
      </c>
      <c r="K23" s="12">
        <v>0</v>
      </c>
      <c r="L23" s="12">
        <v>0</v>
      </c>
      <c r="M23" s="12">
        <f t="shared" si="5"/>
        <v>0</v>
      </c>
      <c r="N23" s="45"/>
      <c r="O23" s="12"/>
      <c r="P23" s="12"/>
      <c r="Q23" s="12">
        <v>0</v>
      </c>
      <c r="R23" s="12"/>
      <c r="S23" s="12">
        <v>0</v>
      </c>
      <c r="T23" s="12">
        <f t="shared" si="8"/>
        <v>0</v>
      </c>
      <c r="U23" s="48"/>
    </row>
    <row r="24" spans="1:21" ht="30" customHeight="1" x14ac:dyDescent="0.25">
      <c r="A24" s="44">
        <v>52615</v>
      </c>
      <c r="B24" s="12"/>
      <c r="C24" s="77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45"/>
      <c r="O24" s="12"/>
      <c r="P24" s="12"/>
      <c r="Q24" s="12"/>
      <c r="R24" s="12"/>
      <c r="S24" s="12"/>
      <c r="T24" s="12"/>
      <c r="U24" s="48"/>
    </row>
    <row r="25" spans="1:21" ht="15.75" thickBot="1" x14ac:dyDescent="0.3">
      <c r="A25" s="44">
        <v>52615</v>
      </c>
      <c r="B25" s="50"/>
      <c r="C25" s="78"/>
      <c r="D25" s="50"/>
      <c r="E25" s="51"/>
      <c r="F25" s="51"/>
      <c r="G25" s="51"/>
      <c r="H25" s="13"/>
      <c r="I25" s="13"/>
      <c r="J25" s="13"/>
      <c r="K25" s="13"/>
      <c r="L25" s="13"/>
      <c r="M25" s="13"/>
      <c r="N25" s="52"/>
      <c r="O25" s="13"/>
      <c r="P25" s="13"/>
      <c r="Q25" s="13"/>
      <c r="R25" s="13"/>
      <c r="S25" s="13"/>
      <c r="T25" s="13"/>
      <c r="U25" s="13"/>
    </row>
    <row r="26" spans="1:21" x14ac:dyDescent="0.25">
      <c r="A26" s="53"/>
      <c r="B26" s="53"/>
      <c r="C26" s="79"/>
      <c r="D26" s="53"/>
      <c r="E26" s="53"/>
      <c r="F26" s="53"/>
      <c r="G26" s="53"/>
      <c r="H26" s="53"/>
      <c r="I26" s="53"/>
      <c r="J26" s="54" t="s">
        <v>5</v>
      </c>
      <c r="K26" s="54"/>
      <c r="L26" s="54"/>
      <c r="M26" s="54">
        <f>SUM(M8:M25)</f>
        <v>17364037</v>
      </c>
      <c r="N26" s="54"/>
      <c r="O26" s="54"/>
      <c r="P26" s="54"/>
      <c r="Q26" s="54" t="s">
        <v>6</v>
      </c>
      <c r="R26" s="54"/>
      <c r="S26" s="54"/>
      <c r="T26" s="54">
        <f>SUM(T6:T25)</f>
        <v>17366700</v>
      </c>
      <c r="U26" s="53"/>
    </row>
    <row r="27" spans="1:21" x14ac:dyDescent="0.25">
      <c r="A27" s="12"/>
      <c r="B27" s="12"/>
      <c r="C27" s="77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</row>
    <row r="28" spans="1:21" x14ac:dyDescent="0.25">
      <c r="A28" s="12"/>
      <c r="B28" s="12"/>
      <c r="C28" s="77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49" t="s">
        <v>7</v>
      </c>
      <c r="R28" s="12"/>
      <c r="S28" s="12"/>
      <c r="T28" s="49">
        <f>M26-T26</f>
        <v>-2663</v>
      </c>
      <c r="U28" s="12"/>
    </row>
    <row r="29" spans="1:21" ht="15.75" thickBot="1" x14ac:dyDescent="0.3">
      <c r="A29" s="14"/>
      <c r="B29" s="14"/>
      <c r="C29" s="7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</row>
    <row r="32" spans="1:21" x14ac:dyDescent="0.25">
      <c r="G32" s="18"/>
    </row>
    <row r="34" spans="5:7" x14ac:dyDescent="0.25">
      <c r="E34" s="17"/>
      <c r="G34" s="18"/>
    </row>
  </sheetData>
  <phoneticPr fontId="7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L25"/>
  <sheetViews>
    <sheetView topLeftCell="A13" workbookViewId="0">
      <selection activeCell="H28" sqref="H28"/>
    </sheetView>
  </sheetViews>
  <sheetFormatPr defaultColWidth="8.85546875" defaultRowHeight="15" x14ac:dyDescent="0.25"/>
  <cols>
    <col min="1" max="1" width="8.85546875" style="3"/>
    <col min="2" max="2" width="29.85546875" style="3" customWidth="1"/>
    <col min="3" max="4" width="8.85546875" style="19"/>
    <col min="5" max="6" width="8.85546875" style="3"/>
    <col min="7" max="7" width="11.5703125" style="20" bestFit="1" customWidth="1"/>
    <col min="8" max="8" width="11.28515625" style="3" customWidth="1"/>
    <col min="9" max="9" width="15.7109375" style="19" customWidth="1"/>
    <col min="10" max="10" width="8.5703125" style="3" bestFit="1" customWidth="1"/>
    <col min="11" max="11" width="14.140625" style="3" bestFit="1" customWidth="1"/>
    <col min="12" max="12" width="10.140625" style="3" bestFit="1" customWidth="1"/>
    <col min="13" max="16384" width="8.85546875" style="3"/>
  </cols>
  <sheetData>
    <row r="3" spans="1:12" s="21" customFormat="1" ht="45" x14ac:dyDescent="0.25">
      <c r="A3" s="22" t="s">
        <v>18</v>
      </c>
      <c r="B3" s="22" t="s">
        <v>19</v>
      </c>
      <c r="C3" s="22" t="s">
        <v>21</v>
      </c>
      <c r="D3" s="22" t="s">
        <v>30</v>
      </c>
      <c r="E3" s="22" t="s">
        <v>31</v>
      </c>
      <c r="F3" s="22" t="s">
        <v>32</v>
      </c>
      <c r="G3" s="23" t="s">
        <v>0</v>
      </c>
      <c r="H3" s="24" t="s">
        <v>39</v>
      </c>
      <c r="I3" s="22" t="s">
        <v>37</v>
      </c>
      <c r="J3" s="22" t="s">
        <v>38</v>
      </c>
      <c r="K3" s="22" t="s">
        <v>37</v>
      </c>
      <c r="L3" s="22" t="s">
        <v>38</v>
      </c>
    </row>
    <row r="4" spans="1:12" x14ac:dyDescent="0.25">
      <c r="A4" s="25"/>
      <c r="B4" s="26" t="s">
        <v>17</v>
      </c>
      <c r="C4" s="27"/>
      <c r="D4" s="28"/>
      <c r="E4" s="25"/>
      <c r="F4" s="25"/>
      <c r="G4" s="29"/>
      <c r="H4" s="30"/>
      <c r="I4" s="28"/>
      <c r="J4" s="25"/>
      <c r="K4" s="28"/>
      <c r="L4" s="25"/>
    </row>
    <row r="5" spans="1:12" ht="45" x14ac:dyDescent="0.25">
      <c r="A5" s="25"/>
      <c r="B5" s="31" t="s">
        <v>20</v>
      </c>
      <c r="C5" s="27" t="s">
        <v>22</v>
      </c>
      <c r="D5" s="28" t="s">
        <v>29</v>
      </c>
      <c r="E5" s="25">
        <v>5000</v>
      </c>
      <c r="F5" s="25">
        <v>185.21</v>
      </c>
      <c r="G5" s="32">
        <f t="shared" ref="G5:G10" si="0">F5*E5</f>
        <v>926050</v>
      </c>
      <c r="H5" s="30">
        <f>E5-J5-L5</f>
        <v>0</v>
      </c>
      <c r="I5" s="28" t="s">
        <v>11</v>
      </c>
      <c r="J5" s="32">
        <v>5000</v>
      </c>
      <c r="K5" s="33" t="s">
        <v>12</v>
      </c>
      <c r="L5" s="32">
        <v>0</v>
      </c>
    </row>
    <row r="6" spans="1:12" ht="45" x14ac:dyDescent="0.25">
      <c r="A6" s="25"/>
      <c r="B6" s="31" t="s">
        <v>20</v>
      </c>
      <c r="C6" s="27" t="s">
        <v>23</v>
      </c>
      <c r="D6" s="28" t="s">
        <v>29</v>
      </c>
      <c r="E6" s="25">
        <v>5000</v>
      </c>
      <c r="F6" s="25">
        <v>148.11000000000001</v>
      </c>
      <c r="G6" s="32">
        <f t="shared" si="0"/>
        <v>740550.00000000012</v>
      </c>
      <c r="H6" s="30">
        <f t="shared" ref="H6:H10" si="1">E6-J6-L6</f>
        <v>0</v>
      </c>
      <c r="I6" s="28" t="s">
        <v>11</v>
      </c>
      <c r="J6" s="32">
        <v>0</v>
      </c>
      <c r="K6" s="33" t="s">
        <v>12</v>
      </c>
      <c r="L6" s="32">
        <v>5000</v>
      </c>
    </row>
    <row r="7" spans="1:12" ht="45" x14ac:dyDescent="0.25">
      <c r="A7" s="25"/>
      <c r="B7" s="31" t="s">
        <v>20</v>
      </c>
      <c r="C7" s="27" t="s">
        <v>24</v>
      </c>
      <c r="D7" s="28" t="s">
        <v>29</v>
      </c>
      <c r="E7" s="25">
        <v>5000</v>
      </c>
      <c r="F7" s="25">
        <v>106.11</v>
      </c>
      <c r="G7" s="32">
        <f t="shared" si="0"/>
        <v>530550</v>
      </c>
      <c r="H7" s="30">
        <f t="shared" si="1"/>
        <v>0</v>
      </c>
      <c r="I7" s="28" t="s">
        <v>11</v>
      </c>
      <c r="J7" s="32">
        <v>5000</v>
      </c>
      <c r="K7" s="33" t="s">
        <v>12</v>
      </c>
      <c r="L7" s="32">
        <v>0</v>
      </c>
    </row>
    <row r="8" spans="1:12" x14ac:dyDescent="0.25">
      <c r="A8" s="25"/>
      <c r="B8" s="31" t="s">
        <v>25</v>
      </c>
      <c r="C8" s="27" t="s">
        <v>26</v>
      </c>
      <c r="D8" s="28" t="s">
        <v>29</v>
      </c>
      <c r="E8" s="25">
        <v>15000</v>
      </c>
      <c r="F8" s="25">
        <v>125.11</v>
      </c>
      <c r="G8" s="32">
        <f t="shared" si="0"/>
        <v>1876650</v>
      </c>
      <c r="H8" s="30">
        <f t="shared" si="1"/>
        <v>0</v>
      </c>
      <c r="I8" s="28" t="s">
        <v>11</v>
      </c>
      <c r="J8" s="32">
        <v>0</v>
      </c>
      <c r="K8" s="33" t="s">
        <v>12</v>
      </c>
      <c r="L8" s="32">
        <v>15000</v>
      </c>
    </row>
    <row r="9" spans="1:12" ht="45" x14ac:dyDescent="0.25">
      <c r="A9" s="25"/>
      <c r="B9" s="31" t="s">
        <v>27</v>
      </c>
      <c r="C9" s="27"/>
      <c r="D9" s="28" t="s">
        <v>29</v>
      </c>
      <c r="E9" s="25">
        <v>15000</v>
      </c>
      <c r="F9" s="25">
        <v>37.71</v>
      </c>
      <c r="G9" s="32">
        <f t="shared" si="0"/>
        <v>565650</v>
      </c>
      <c r="H9" s="30">
        <f t="shared" si="1"/>
        <v>0</v>
      </c>
      <c r="I9" s="28" t="s">
        <v>11</v>
      </c>
      <c r="J9" s="32">
        <v>0</v>
      </c>
      <c r="K9" s="33" t="s">
        <v>12</v>
      </c>
      <c r="L9" s="32">
        <v>15000</v>
      </c>
    </row>
    <row r="10" spans="1:12" ht="45" x14ac:dyDescent="0.25">
      <c r="A10" s="25"/>
      <c r="B10" s="31" t="s">
        <v>28</v>
      </c>
      <c r="C10" s="27"/>
      <c r="D10" s="28" t="s">
        <v>29</v>
      </c>
      <c r="E10" s="25">
        <v>15000</v>
      </c>
      <c r="F10" s="25">
        <v>37.71</v>
      </c>
      <c r="G10" s="32">
        <f t="shared" si="0"/>
        <v>565650</v>
      </c>
      <c r="H10" s="30">
        <f t="shared" si="1"/>
        <v>0</v>
      </c>
      <c r="I10" s="28" t="s">
        <v>11</v>
      </c>
      <c r="J10" s="32">
        <v>0</v>
      </c>
      <c r="K10" s="33" t="s">
        <v>12</v>
      </c>
      <c r="L10" s="32">
        <v>15000</v>
      </c>
    </row>
    <row r="11" spans="1:12" x14ac:dyDescent="0.25">
      <c r="A11" s="25"/>
      <c r="B11" s="25"/>
      <c r="C11" s="28"/>
      <c r="D11" s="28"/>
      <c r="E11" s="34" t="s">
        <v>33</v>
      </c>
      <c r="F11" s="35" t="s">
        <v>34</v>
      </c>
      <c r="G11" s="36">
        <f>SUM(G5:G10)</f>
        <v>5205100</v>
      </c>
      <c r="H11" s="25"/>
      <c r="I11" s="28"/>
      <c r="J11" s="25"/>
      <c r="K11" s="25"/>
      <c r="L11" s="25"/>
    </row>
    <row r="12" spans="1:12" x14ac:dyDescent="0.25">
      <c r="A12" s="25"/>
      <c r="B12" s="25"/>
      <c r="C12" s="28"/>
      <c r="D12" s="28"/>
      <c r="E12" s="25" t="s">
        <v>35</v>
      </c>
      <c r="F12" s="35" t="s">
        <v>34</v>
      </c>
      <c r="G12" s="32">
        <f>G11*18%</f>
        <v>936918</v>
      </c>
      <c r="H12" s="25"/>
      <c r="I12" s="28"/>
      <c r="J12" s="25"/>
      <c r="K12" s="25"/>
      <c r="L12" s="25"/>
    </row>
    <row r="13" spans="1:12" x14ac:dyDescent="0.25">
      <c r="A13" s="25"/>
      <c r="B13" s="25"/>
      <c r="C13" s="28"/>
      <c r="D13" s="28"/>
      <c r="E13" s="34" t="s">
        <v>36</v>
      </c>
      <c r="F13" s="35" t="s">
        <v>34</v>
      </c>
      <c r="G13" s="36">
        <f>SUM(G11:G12)</f>
        <v>6142018</v>
      </c>
      <c r="H13" s="25"/>
      <c r="I13" s="28"/>
      <c r="J13" s="25"/>
      <c r="K13" s="25"/>
      <c r="L13" s="25"/>
    </row>
    <row r="16" spans="1:12" x14ac:dyDescent="0.25">
      <c r="A16" s="25"/>
      <c r="B16" s="37" t="s">
        <v>42</v>
      </c>
      <c r="C16" s="28"/>
      <c r="D16" s="28"/>
      <c r="E16" s="25"/>
      <c r="F16" s="25"/>
      <c r="G16" s="29"/>
      <c r="H16" s="39" t="str">
        <f>H3</f>
        <v>Balance Qty.</v>
      </c>
      <c r="I16" s="28"/>
      <c r="J16" s="25"/>
      <c r="K16" s="25"/>
      <c r="L16" s="25"/>
    </row>
    <row r="17" spans="1:12" ht="45" x14ac:dyDescent="0.25">
      <c r="A17" s="25"/>
      <c r="B17" s="31" t="s">
        <v>40</v>
      </c>
      <c r="C17" s="27" t="s">
        <v>41</v>
      </c>
      <c r="D17" s="28" t="s">
        <v>29</v>
      </c>
      <c r="E17" s="25">
        <v>5000</v>
      </c>
      <c r="F17" s="38">
        <v>96.4</v>
      </c>
      <c r="G17" s="32">
        <f>F17*E17</f>
        <v>482000</v>
      </c>
      <c r="H17" s="32">
        <f>E17-J17-L17-N17</f>
        <v>1000</v>
      </c>
      <c r="I17" s="28" t="s">
        <v>13</v>
      </c>
      <c r="J17" s="32">
        <v>500</v>
      </c>
      <c r="K17" s="33" t="s">
        <v>16</v>
      </c>
      <c r="L17" s="32">
        <v>3500</v>
      </c>
    </row>
    <row r="18" spans="1:12" ht="45" x14ac:dyDescent="0.25">
      <c r="A18" s="25"/>
      <c r="B18" s="31" t="s">
        <v>40</v>
      </c>
      <c r="C18" s="27" t="s">
        <v>43</v>
      </c>
      <c r="D18" s="28" t="s">
        <v>29</v>
      </c>
      <c r="E18" s="25">
        <v>6737</v>
      </c>
      <c r="F18" s="25">
        <v>70.69</v>
      </c>
      <c r="G18" s="32">
        <f>F18*E18</f>
        <v>476238.52999999997</v>
      </c>
      <c r="H18" s="32">
        <f>E18-J18-L18-N18</f>
        <v>5737</v>
      </c>
      <c r="I18" s="28" t="s">
        <v>13</v>
      </c>
      <c r="J18" s="32">
        <v>300</v>
      </c>
      <c r="K18" s="33" t="s">
        <v>16</v>
      </c>
      <c r="L18" s="32">
        <v>700</v>
      </c>
    </row>
    <row r="19" spans="1:12" ht="45" x14ac:dyDescent="0.25">
      <c r="A19" s="25"/>
      <c r="B19" s="31" t="s">
        <v>40</v>
      </c>
      <c r="C19" s="27" t="s">
        <v>44</v>
      </c>
      <c r="D19" s="28" t="s">
        <v>29</v>
      </c>
      <c r="E19" s="25">
        <v>13475</v>
      </c>
      <c r="F19" s="25">
        <v>66.989999999999995</v>
      </c>
      <c r="G19" s="32">
        <f>F19*E19</f>
        <v>902690.24999999988</v>
      </c>
      <c r="H19" s="32">
        <f>E19-J19-L19-N19</f>
        <v>12475</v>
      </c>
      <c r="I19" s="28" t="s">
        <v>13</v>
      </c>
      <c r="J19" s="32">
        <v>200</v>
      </c>
      <c r="K19" s="33" t="s">
        <v>16</v>
      </c>
      <c r="L19" s="32">
        <v>800</v>
      </c>
    </row>
    <row r="20" spans="1:12" x14ac:dyDescent="0.25">
      <c r="A20" s="25"/>
      <c r="B20" s="31" t="s">
        <v>25</v>
      </c>
      <c r="C20" s="27" t="s">
        <v>26</v>
      </c>
      <c r="D20" s="28" t="s">
        <v>29</v>
      </c>
      <c r="E20" s="25">
        <v>25212</v>
      </c>
      <c r="F20" s="25">
        <v>125.11</v>
      </c>
      <c r="G20" s="32">
        <f>F20*E20</f>
        <v>3154273.32</v>
      </c>
      <c r="H20" s="32">
        <f>E20-J20-L20-N20</f>
        <v>21212</v>
      </c>
      <c r="I20" s="28" t="s">
        <v>13</v>
      </c>
      <c r="J20" s="32">
        <v>500</v>
      </c>
      <c r="K20" s="33" t="s">
        <v>16</v>
      </c>
      <c r="L20" s="32">
        <v>3500</v>
      </c>
    </row>
    <row r="21" spans="1:12" ht="45" x14ac:dyDescent="0.25">
      <c r="A21" s="25"/>
      <c r="B21" s="31" t="s">
        <v>27</v>
      </c>
      <c r="C21" s="27"/>
      <c r="D21" s="28" t="s">
        <v>29</v>
      </c>
      <c r="E21" s="25">
        <v>25212</v>
      </c>
      <c r="F21" s="25">
        <v>36.409999999999997</v>
      </c>
      <c r="G21" s="32">
        <f t="shared" ref="G21:G22" si="2">F21*E21</f>
        <v>917968.91999999993</v>
      </c>
      <c r="H21" s="32">
        <f t="shared" ref="H21:H22" si="3">E21-J21-L21-N21</f>
        <v>25212</v>
      </c>
      <c r="I21" s="28" t="s">
        <v>13</v>
      </c>
      <c r="J21" s="32">
        <v>0</v>
      </c>
      <c r="K21" s="33" t="s">
        <v>16</v>
      </c>
      <c r="L21" s="32">
        <v>0</v>
      </c>
    </row>
    <row r="22" spans="1:12" ht="45" x14ac:dyDescent="0.25">
      <c r="A22" s="25"/>
      <c r="B22" s="31" t="s">
        <v>28</v>
      </c>
      <c r="C22" s="27"/>
      <c r="D22" s="28" t="s">
        <v>29</v>
      </c>
      <c r="E22" s="25">
        <v>25212</v>
      </c>
      <c r="F22" s="25">
        <v>36.409999999999997</v>
      </c>
      <c r="G22" s="32">
        <f t="shared" si="2"/>
        <v>917968.91999999993</v>
      </c>
      <c r="H22" s="32">
        <f t="shared" si="3"/>
        <v>14212</v>
      </c>
      <c r="I22" s="28" t="s">
        <v>13</v>
      </c>
      <c r="J22" s="32">
        <v>1000</v>
      </c>
      <c r="K22" s="33" t="s">
        <v>16</v>
      </c>
      <c r="L22" s="32">
        <v>10000</v>
      </c>
    </row>
    <row r="23" spans="1:12" x14ac:dyDescent="0.25">
      <c r="A23" s="25"/>
      <c r="B23" s="25"/>
      <c r="C23" s="28"/>
      <c r="D23" s="28"/>
      <c r="E23" s="34" t="s">
        <v>33</v>
      </c>
      <c r="F23" s="35" t="s">
        <v>34</v>
      </c>
      <c r="G23" s="36">
        <f>SUM(G17:G22)</f>
        <v>6851139.9399999995</v>
      </c>
      <c r="H23" s="25"/>
      <c r="I23" s="28"/>
      <c r="J23" s="25"/>
      <c r="K23" s="25"/>
      <c r="L23" s="25"/>
    </row>
    <row r="24" spans="1:12" x14ac:dyDescent="0.25">
      <c r="A24" s="25"/>
      <c r="B24" s="25"/>
      <c r="C24" s="28"/>
      <c r="D24" s="28"/>
      <c r="E24" s="25" t="s">
        <v>35</v>
      </c>
      <c r="F24" s="35" t="s">
        <v>34</v>
      </c>
      <c r="G24" s="32">
        <f>G23*18%</f>
        <v>1233205.1891999999</v>
      </c>
      <c r="H24" s="25"/>
      <c r="I24" s="28"/>
      <c r="J24" s="25"/>
      <c r="K24" s="25"/>
      <c r="L24" s="25"/>
    </row>
    <row r="25" spans="1:12" x14ac:dyDescent="0.25">
      <c r="A25" s="25"/>
      <c r="B25" s="25"/>
      <c r="C25" s="28"/>
      <c r="D25" s="28"/>
      <c r="E25" s="34" t="s">
        <v>36</v>
      </c>
      <c r="F25" s="35" t="s">
        <v>34</v>
      </c>
      <c r="G25" s="36">
        <f>SUM(G23:G24)</f>
        <v>8084345.1291999994</v>
      </c>
      <c r="H25" s="25"/>
      <c r="I25" s="28"/>
      <c r="J25" s="25"/>
      <c r="K25" s="25"/>
      <c r="L25" s="25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Payment Reconciliation</vt:lpstr>
      <vt:lpstr>Balance sheet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2025-06-11T12:42:04Z</dcterms:modified>
</cp:coreProperties>
</file>