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wapnil (2)\Swapnil\Abhinandini Enterprises\"/>
    </mc:Choice>
  </mc:AlternateContent>
  <xr:revisionPtr revIDLastSave="0" documentId="13_ncr:1_{4ED280DD-F49F-420C-AE43-3C1359E3FE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Sheet1!$P$1:$P$83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0" i="1" l="1"/>
  <c r="R66" i="1"/>
  <c r="G71" i="1"/>
  <c r="G67" i="1"/>
  <c r="K67" i="1" s="1"/>
  <c r="G64" i="1"/>
  <c r="G63" i="1"/>
  <c r="J63" i="1" s="1"/>
  <c r="J71" i="1" l="1"/>
  <c r="H71" i="1"/>
  <c r="O71" i="1" s="1"/>
  <c r="E72" i="1" s="1"/>
  <c r="Q72" i="1" s="1"/>
  <c r="K71" i="1"/>
  <c r="H67" i="1"/>
  <c r="I67" i="1" s="1"/>
  <c r="J67" i="1"/>
  <c r="K63" i="1"/>
  <c r="J64" i="1"/>
  <c r="K64" i="1"/>
  <c r="H64" i="1"/>
  <c r="O64" i="1" s="1"/>
  <c r="H63" i="1"/>
  <c r="O63" i="1" s="1"/>
  <c r="E65" i="1" s="1"/>
  <c r="Q65" i="1" s="1"/>
  <c r="G57" i="1"/>
  <c r="K57" i="1" s="1"/>
  <c r="O67" i="1" l="1"/>
  <c r="I71" i="1"/>
  <c r="Q71" i="1" s="1"/>
  <c r="I63" i="1"/>
  <c r="Q63" i="1" s="1"/>
  <c r="I64" i="1"/>
  <c r="Q64" i="1" s="1"/>
  <c r="J57" i="1"/>
  <c r="H57" i="1"/>
  <c r="O57" i="1" s="1"/>
  <c r="E58" i="1" s="1"/>
  <c r="Q58" i="1" s="1"/>
  <c r="Q67" i="1" l="1"/>
  <c r="E68" i="1"/>
  <c r="Q68" i="1" s="1"/>
  <c r="I57" i="1"/>
  <c r="Q57" i="1" s="1"/>
  <c r="G53" i="1"/>
  <c r="O53" i="1" s="1"/>
  <c r="E54" i="1" s="1"/>
  <c r="Q54" i="1" s="1"/>
  <c r="K53" i="1" l="1"/>
  <c r="J53" i="1"/>
  <c r="L53" i="1"/>
  <c r="M53" i="1"/>
  <c r="H53" i="1"/>
  <c r="I53" i="1" s="1"/>
  <c r="G37" i="1"/>
  <c r="K37" i="1" s="1"/>
  <c r="R50" i="1"/>
  <c r="R46" i="1"/>
  <c r="R42" i="1"/>
  <c r="R11" i="1"/>
  <c r="R14" i="1"/>
  <c r="R17" i="1"/>
  <c r="R39" i="1"/>
  <c r="R23" i="1"/>
  <c r="R34" i="1"/>
  <c r="R29" i="1"/>
  <c r="R26" i="1"/>
  <c r="R20" i="1"/>
  <c r="Q53" i="1" l="1"/>
  <c r="H37" i="1"/>
  <c r="O37" i="1" s="1"/>
  <c r="E38" i="1" s="1"/>
  <c r="Q38" i="1" s="1"/>
  <c r="J37" i="1"/>
  <c r="G18" i="1"/>
  <c r="Q44" i="1"/>
  <c r="G32" i="1"/>
  <c r="H32" i="1" s="1"/>
  <c r="E33" i="1" s="1"/>
  <c r="Q33" i="1" s="1"/>
  <c r="Q25" i="1"/>
  <c r="Q41" i="1"/>
  <c r="G51" i="1"/>
  <c r="O51" i="1" l="1"/>
  <c r="E52" i="1" s="1"/>
  <c r="Q52" i="1" s="1"/>
  <c r="L51" i="1"/>
  <c r="M51" i="1"/>
  <c r="K51" i="1"/>
  <c r="J51" i="1"/>
  <c r="I37" i="1"/>
  <c r="Q37" i="1" s="1"/>
  <c r="J18" i="1"/>
  <c r="K32" i="1"/>
  <c r="O32" i="1"/>
  <c r="J32" i="1"/>
  <c r="H51" i="1"/>
  <c r="I51" i="1" s="1"/>
  <c r="K12" i="1"/>
  <c r="Q19" i="1"/>
  <c r="Q51" i="1" l="1"/>
  <c r="I32" i="1"/>
  <c r="Q32" i="1" s="1"/>
  <c r="Q16" i="1"/>
  <c r="Q13" i="1"/>
  <c r="Q9" i="1"/>
  <c r="G47" i="1"/>
  <c r="K47" i="1" s="1"/>
  <c r="H47" i="1" l="1"/>
  <c r="O47" i="1" s="1"/>
  <c r="E48" i="1" s="1"/>
  <c r="Q48" i="1" s="1"/>
  <c r="J47" i="1"/>
  <c r="I47" i="1" l="1"/>
  <c r="Q47" i="1" s="1"/>
  <c r="K18" i="1"/>
  <c r="Q18" i="1" l="1"/>
  <c r="I18" i="1"/>
  <c r="G43" i="1"/>
  <c r="O12" i="1"/>
  <c r="G15" i="1"/>
  <c r="J15" i="1" s="1"/>
  <c r="G40" i="1"/>
  <c r="K40" i="1" s="1"/>
  <c r="J43" i="1" l="1"/>
  <c r="H43" i="1"/>
  <c r="O43" i="1" s="1"/>
  <c r="J12" i="1"/>
  <c r="K43" i="1"/>
  <c r="N43" i="1"/>
  <c r="H12" i="1"/>
  <c r="I12" i="1" s="1"/>
  <c r="O15" i="1"/>
  <c r="K15" i="1"/>
  <c r="H15" i="1"/>
  <c r="I15" i="1" s="1"/>
  <c r="J40" i="1"/>
  <c r="H40" i="1"/>
  <c r="O40" i="1" s="1"/>
  <c r="R7" i="1"/>
  <c r="Q12" i="1" l="1"/>
  <c r="I43" i="1"/>
  <c r="Q43" i="1" s="1"/>
  <c r="Q15" i="1"/>
  <c r="I40" i="1"/>
  <c r="Q40" i="1" s="1"/>
  <c r="G24" i="1"/>
  <c r="J24" i="1" s="1"/>
  <c r="K24" i="1" l="1"/>
  <c r="H24" i="1"/>
  <c r="I24" i="1" s="1"/>
  <c r="O24" i="1" l="1"/>
  <c r="Q24" i="1" s="1"/>
  <c r="G35" i="1"/>
  <c r="H35" i="1" s="1"/>
  <c r="O35" i="1" s="1"/>
  <c r="E36" i="1" s="1"/>
  <c r="Q36" i="1" s="1"/>
  <c r="K35" i="1" l="1"/>
  <c r="J35" i="1"/>
  <c r="I35" i="1" l="1"/>
  <c r="Q35" i="1" s="1"/>
  <c r="G30" i="1" l="1"/>
  <c r="H30" i="1" s="1"/>
  <c r="E31" i="1" s="1"/>
  <c r="Q31" i="1" s="1"/>
  <c r="J30" i="1" l="1"/>
  <c r="O30" i="1"/>
  <c r="K30" i="1"/>
  <c r="E27" i="1"/>
  <c r="G27" i="1" s="1"/>
  <c r="H27" i="1" s="1"/>
  <c r="I30" i="1" l="1"/>
  <c r="Q30" i="1" s="1"/>
  <c r="O27" i="1"/>
  <c r="E28" i="1" s="1"/>
  <c r="Q28" i="1" s="1"/>
  <c r="J27" i="1"/>
  <c r="K27" i="1"/>
  <c r="I27" i="1" l="1"/>
  <c r="Q27" i="1" s="1"/>
  <c r="E21" i="1" l="1"/>
  <c r="G21" i="1" s="1"/>
  <c r="H21" i="1" s="1"/>
  <c r="K21" i="1" l="1"/>
  <c r="J21" i="1"/>
  <c r="O21" i="1"/>
  <c r="E22" i="1" s="1"/>
  <c r="Q22" i="1" s="1"/>
  <c r="I21" i="1" l="1"/>
  <c r="Q21" i="1" s="1"/>
  <c r="F8" i="1" l="1"/>
  <c r="E8" i="1"/>
  <c r="G8" i="1" l="1"/>
  <c r="G20" i="1" l="1"/>
  <c r="I20" i="1" s="1"/>
  <c r="J20" i="1" l="1"/>
  <c r="Q10" i="1"/>
  <c r="H8" i="1" l="1"/>
  <c r="I8" i="1" s="1"/>
  <c r="K8" i="1"/>
  <c r="J8" i="1"/>
  <c r="O8" i="1" l="1"/>
  <c r="Q8" i="1" l="1"/>
</calcChain>
</file>

<file path=xl/sharedStrings.xml><?xml version="1.0" encoding="utf-8"?>
<sst xmlns="http://schemas.openxmlformats.org/spreadsheetml/2006/main" count="114" uniqueCount="91">
  <si>
    <t>Amount</t>
  </si>
  <si>
    <t>UTR</t>
  </si>
  <si>
    <t>30-11-2022 NEFT/AXISP00341668618/RIUP22/1370/ABINANDNI ENTER 250000.00</t>
  </si>
  <si>
    <t>03-01-2023 NEFT/AXISP00351384281/RIUP22/1752/ABINANDNI ENTER 40493.00</t>
  </si>
  <si>
    <t>24-01-2023 NEFT/AXISP00356837275/RIUP22/1916/ABINANDNI ENTER 58751.00</t>
  </si>
  <si>
    <t>27-06-2023 NEFT/AXISP00401014815/RIUP23/874/ABINANDNI ENTERP 285503.00</t>
  </si>
  <si>
    <t>27-06-2023 NEFT/AXISP00401014814/RIUP23/873/ABINANDNI ENTERP 288029.00</t>
  </si>
  <si>
    <t>15-07-2023 NEFT/AXISP00407207176/RIUP23/1056/ABINANDNI ENTER 286536.00</t>
  </si>
  <si>
    <t>24-08-2023 NEFT/AXISP00418043564/RIUP23/1542/ABINANDNI ENTERPRI/ 57742.00</t>
  </si>
  <si>
    <t>28-08-2023 NEFT/AXISP00418870936/RIUP23/1541/ABINANDNI ENTERPRI/58253.00</t>
  </si>
  <si>
    <t>28-08-2023 NEFT/AXISP00418849242/RIUP23/1699/ABINANDNI ENTERPRI/143510.00</t>
  </si>
  <si>
    <t>Khalwara Village Pump House Work</t>
  </si>
  <si>
    <t>06-03-2023 NEFT/AXISP00369001727/RIUP22/2462/ABINANDNI ENTER 287359.00</t>
  </si>
  <si>
    <t>12-05-2023 NEFT/AXISP00389894112/RIUP23/206/ABINANDNI ENTERP 58118.00</t>
  </si>
  <si>
    <t>Saidpur Village Pump House Work</t>
  </si>
  <si>
    <t>04-02-2023 NEFT/AXISP00360502879/RIUP22/2099/ABINANDNI ENTER ₹ 2,81,672.00</t>
  </si>
  <si>
    <t>12-05-2023 NEFT/AXISP00389894138/RIUP23/205/ABINANDNI ENTERP 56967.00</t>
  </si>
  <si>
    <t>Medpur Village Pump House Work</t>
  </si>
  <si>
    <t xml:space="preserve"> 07-02-2023 NEFT/AXISP00361376408/RIUP22/2107/ABINANDNI ENTER ₹ 2,77,613.00</t>
  </si>
  <si>
    <t>12-05-2023 NEFT/AXISP00389894139/RIUP23/204/ABINANDNI ENTERP 56147.00</t>
  </si>
  <si>
    <t xml:space="preserve">Painting &amp; Finishing </t>
  </si>
  <si>
    <t>GST Relase Note</t>
  </si>
  <si>
    <t>GST Release note</t>
  </si>
  <si>
    <t>19-10-2023 NEFT/AXISP00435739496/RIUP23/2782A/ABINANDNI ENTERPRI/IDIB000M020 278475.00</t>
  </si>
  <si>
    <t>17-10-2023 NEFT/AXISP00435111135/RIUP23/2606/ABINANDNI ENTERPRI/IDIB000M020 284664.00</t>
  </si>
  <si>
    <t>09-11-2023 NEFT/AXISP00442779073/RIUP23/3207/ABINANDNI ENTERPRI/IDIB000M020 148500.00</t>
  </si>
  <si>
    <t>14-12-2023 NEFT/AXISP00452966711/RIUP23/3601/ABINANDNI ENTERPRI/IDIB000M020 429294.00</t>
  </si>
  <si>
    <t>12-01-2024 NEFT/AXISP00462195174/RIUP23/3274/ABINANDNI ENTERPRI/IDIB000M020 90839.00</t>
  </si>
  <si>
    <t>01-02-2024 NEFT/AXISP00467277203/RIUP23/4481/ABINANDNI ENTERPRI/IDIB000M020 45831.00</t>
  </si>
  <si>
    <t>01-02-2024 NEFT/AXISP00467277207/RIUP23/4303/ABINANDNI ENTERPRI/IDIB000M020 63450.00</t>
  </si>
  <si>
    <t>09-02-2024 NEFT/AXISP00469899334/RIUP23/4302/ABINANDNI ENTERPRI/IDIB000M020 57573.00</t>
  </si>
  <si>
    <t>13-02-2024 NEFT/AXISP00470943294/RIUP23/4300/ABINANDNI ENTERPRI/IDIB000M020 57951.00</t>
  </si>
  <si>
    <t>07-02-2024 NEFT/AXISP00469113943/RIUP23/4223/ABINANDNI ENTERPRI/IDIB000M020 103240.00</t>
  </si>
  <si>
    <t>07-02-2024 NEFT/AXISP00469113944/RIUP23/4301/ABINANDNI ENTERPRI/IDIB000M020 29024.00</t>
  </si>
  <si>
    <t>02-02-2024 NEFT/AXISP00467749360/RIUP23/4482/ABINANDNI ENTERPRI/IDIB000M020 20880.00</t>
  </si>
  <si>
    <t>Please book the bills from Row No-2 &amp; 25 ( T.I- 07 &amp; 10 ) as Shirish Sir has instructed to hold the payment only not booking bills</t>
  </si>
  <si>
    <t>TD</t>
  </si>
  <si>
    <t>OC</t>
  </si>
  <si>
    <t>14-05-2024 NEFT/AXISP00499706378/RIUP23/5172/ABINANDNI ENTERPRI/IDIB000M020 55001.00</t>
  </si>
  <si>
    <t>14-06-2024 NEFT/AXISP00509460935/RIUP23/4483/ABINANDNI ENTERPRI/IDIB000M020 104423.00</t>
  </si>
  <si>
    <t>16-07-2024 NEFT/AXISP00519021659/RIUP24/1110/ABINANDNI ENTERPRI/IDIB000M020 151965.00</t>
  </si>
  <si>
    <t>16-07-2024 NEFT/AXISP00519021660/RIUP24/1111/ABINANDNI ENTERPRI/IDIB000M020 134390.00</t>
  </si>
  <si>
    <t>16-07-2024 NEFT/AXISP00519021661/RIUP24/1112/ABINANDNI ENTERPRI/IDIB000M020 30734.00</t>
  </si>
  <si>
    <t>DPR EXCESS</t>
  </si>
  <si>
    <t>23-10-2024 NEFT/AXISP00557269325/RIUP24/2290/ABINANDNI ENTERPRI/IDIB000M020 247500.00</t>
  </si>
  <si>
    <t>23-12-2024 NEFT/AXISP00587800980/RIUP24/2542/ABINANDNI ENTERPRI/IDIB000M020 50000.00</t>
  </si>
  <si>
    <t>31-12-2024 NEFT/AXISP00591007089/RIUP24/2321/ABINANDNI ENTERPRI/IDIB000M020 208680.00</t>
  </si>
  <si>
    <t>2 &amp; 3</t>
  </si>
  <si>
    <t>30-01-2025 NEFT/AXISP00606020243/RIUP24/1595/ABINANDNI ENTERPRI/IDIB000M020 27180.00</t>
  </si>
  <si>
    <t>30-01-2025 NEFT/AXISP00606020244/RIUP24/1596/ABINANDNI ENTERPRI/IDIB000M020 13378.00</t>
  </si>
  <si>
    <t>26-DEC-24 11:01:58 Debit N/RIUP24/2541/ABINANDNI ENTE/INDBN26123786884/ 200000</t>
  </si>
  <si>
    <t>12-03-2025 NEFT/AXISP00632194497/RIUP24/2540/ABINANDNI ENTERPRI/IDIB000M020 275000.00</t>
  </si>
  <si>
    <t>deleted from PMC and uploaded on 66735</t>
  </si>
  <si>
    <t>28-03-2025 NEFT/AXISP00641455068/RIUP24/3205/ABINANDNI ENTERPRI/IDIB000M020 58293.00</t>
  </si>
  <si>
    <t>28-03-2025 NEFT/AXISP00641455069/RIUP24/3206/ABINANDNI ENTERPRI/IDIB000M020 55773.00</t>
  </si>
  <si>
    <t>28-03-2025 NEFT/AXISP00641455070/RIUP24/3207/ABINANDNI ENTERPRI/IDIB000M020 58293.00</t>
  </si>
  <si>
    <t>28-03-2025 NEFT/AXISP00641455071/RIUP24/3344/ABINANDNI ENTERPRI/IDIB000M020 71384.00</t>
  </si>
  <si>
    <t>Subcontractor:</t>
  </si>
  <si>
    <t>State:</t>
  </si>
  <si>
    <t>Uttar Pradesh</t>
  </si>
  <si>
    <t>District:</t>
  </si>
  <si>
    <t>Muzaffarnagar</t>
  </si>
  <si>
    <t>Block:</t>
  </si>
  <si>
    <t>Abhinandini Enterprises</t>
  </si>
  <si>
    <t>Panchenda Kalan Village Pump House Work</t>
  </si>
  <si>
    <t>GST Release Note</t>
  </si>
  <si>
    <t>Saidipur Raju Village Pump House Work</t>
  </si>
  <si>
    <t>GHYANMAZARA  Village Pump House  Work</t>
  </si>
  <si>
    <t>Wazidpur kawali  Village Pump House Work</t>
  </si>
  <si>
    <t>Ahrora  Village Pump House Work</t>
  </si>
  <si>
    <t>Nanhera Village Pump House Work</t>
  </si>
  <si>
    <t>Pachenda kalan Village BW Work</t>
  </si>
  <si>
    <t>SADPUR Village CONSTRUCTION WORK OF PUMP HOUSE  Work</t>
  </si>
  <si>
    <t>BHIRAHERI Village PUMP HOUSE 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</si>
  <si>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</si>
  <si>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</si>
  <si>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</si>
  <si>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</si>
  <si>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</si>
  <si>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</si>
  <si>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</si>
  <si>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</si>
  <si>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</si>
  <si>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</si>
  <si>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</si>
  <si>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</si>
  <si>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</si>
  <si>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Mandala Village Pipe Laying Work</t>
  </si>
  <si>
    <t>Guniyajuddi VILLAGE  Boundary wall work</t>
  </si>
  <si>
    <t>Ahamadwala Village  Pump House Work</t>
  </si>
  <si>
    <t>JABARDASTPUR MANDAUDI  Village 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</si>
</sst>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b/>
      <sz val="11"/>
      <color rgb="FFFF0000"/>
      <name val="Comic Sans MS"/>
      <family val="4"/>
    </font>
    <font>
      <sz val="14"/>
      <color theme="1"/>
      <name val="Comic Sans MS"/>
      <family val="4"/>
    </font>
    <font>
      <sz val="11"/>
      <color rgb="FF333333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0" fontId="2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1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9" fontId="3" fillId="2" borderId="5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vertical="center"/>
    </xf>
    <xf numFmtId="0" fontId="3" fillId="3" borderId="2" xfId="1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6" fillId="2" borderId="4" xfId="0" quotePrefix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43" fontId="6" fillId="5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0" fontId="3" fillId="3" borderId="4" xfId="1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2" borderId="4" xfId="1" applyNumberFormat="1" applyFont="1" applyFill="1" applyBorder="1" applyAlignment="1">
      <alignment horizontal="center" vertical="center"/>
    </xf>
    <xf numFmtId="0" fontId="6" fillId="2" borderId="4" xfId="1" applyNumberFormat="1" applyFont="1" applyFill="1" applyBorder="1" applyAlignment="1">
      <alignment horizontal="center" vertical="center"/>
    </xf>
    <xf numFmtId="15" fontId="3" fillId="2" borderId="4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3" fillId="2" borderId="4" xfId="0" quotePrefix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15" fontId="3" fillId="2" borderId="23" xfId="0" applyNumberFormat="1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43" fontId="3" fillId="2" borderId="23" xfId="1" applyNumberFormat="1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3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43" fontId="4" fillId="2" borderId="3" xfId="1" applyNumberFormat="1" applyFont="1" applyFill="1" applyBorder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3" fontId="3" fillId="2" borderId="0" xfId="1" applyNumberFormat="1" applyFon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9" fillId="0" borderId="4" xfId="0" applyFont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43" fontId="4" fillId="2" borderId="17" xfId="1" applyNumberFormat="1" applyFont="1" applyFill="1" applyBorder="1" applyAlignment="1">
      <alignment horizontal="center" vertical="center"/>
    </xf>
    <xf numFmtId="43" fontId="4" fillId="2" borderId="18" xfId="1" applyNumberFormat="1" applyFont="1" applyFill="1" applyBorder="1" applyAlignment="1">
      <alignment horizontal="center" vertical="center"/>
    </xf>
    <xf numFmtId="43" fontId="4" fillId="2" borderId="19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43" fontId="6" fillId="0" borderId="4" xfId="1" applyNumberFormat="1" applyFont="1" applyFill="1" applyBorder="1" applyAlignment="1">
      <alignment vertical="center"/>
    </xf>
    <xf numFmtId="43" fontId="3" fillId="6" borderId="4" xfId="1" applyNumberFormat="1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3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164" fontId="11" fillId="2" borderId="3" xfId="1" applyFont="1" applyFill="1" applyBorder="1" applyAlignment="1">
      <alignment horizontal="center" vertical="center"/>
    </xf>
    <xf numFmtId="164" fontId="10" fillId="2" borderId="3" xfId="1" applyFont="1" applyFill="1" applyBorder="1" applyAlignment="1">
      <alignment horizontal="center" vertical="center"/>
    </xf>
    <xf numFmtId="43" fontId="4" fillId="2" borderId="15" xfId="1" applyNumberFormat="1" applyFont="1" applyFill="1" applyBorder="1" applyAlignment="1">
      <alignment horizontal="center" vertical="center"/>
    </xf>
    <xf numFmtId="43" fontId="4" fillId="2" borderId="1" xfId="1" applyNumberFormat="1" applyFont="1" applyFill="1" applyBorder="1" applyAlignment="1">
      <alignment horizontal="center" vertical="center"/>
    </xf>
    <xf numFmtId="43" fontId="4" fillId="2" borderId="16" xfId="1" applyNumberFormat="1" applyFont="1" applyFill="1" applyBorder="1" applyAlignment="1">
      <alignment horizontal="center" vertical="center"/>
    </xf>
    <xf numFmtId="43" fontId="4" fillId="2" borderId="6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3" fontId="4" fillId="2" borderId="9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43" fontId="4" fillId="2" borderId="20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4" fontId="4" fillId="2" borderId="6" xfId="0" applyNumberFormat="1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horizontal="center" vertical="center"/>
    </xf>
    <xf numFmtId="4" fontId="4" fillId="2" borderId="9" xfId="0" applyNumberFormat="1" applyFont="1" applyFill="1" applyBorder="1" applyAlignment="1">
      <alignment horizontal="center" vertical="center"/>
    </xf>
    <xf numFmtId="4" fontId="4" fillId="2" borderId="11" xfId="0" applyNumberFormat="1" applyFont="1" applyFill="1" applyBorder="1" applyAlignment="1">
      <alignment horizontal="center" vertical="center"/>
    </xf>
    <xf numFmtId="4" fontId="4" fillId="2" borderId="10" xfId="0" applyNumberFormat="1" applyFont="1" applyFill="1" applyBorder="1" applyAlignment="1">
      <alignment horizontal="center" vertical="center"/>
    </xf>
    <xf numFmtId="43" fontId="4" fillId="2" borderId="12" xfId="1" applyNumberFormat="1" applyFont="1" applyFill="1" applyBorder="1" applyAlignment="1">
      <alignment horizontal="center" vertical="center"/>
    </xf>
    <xf numFmtId="43" fontId="4" fillId="2" borderId="13" xfId="1" applyNumberFormat="1" applyFont="1" applyFill="1" applyBorder="1" applyAlignment="1">
      <alignment horizontal="center" vertical="center"/>
    </xf>
    <xf numFmtId="43" fontId="4" fillId="2" borderId="14" xfId="1" applyNumberFormat="1" applyFont="1" applyFill="1" applyBorder="1" applyAlignment="1">
      <alignment horizontal="center" vertical="center"/>
    </xf>
    <xf numFmtId="43" fontId="4" fillId="2" borderId="20" xfId="1" applyNumberFormat="1" applyFont="1" applyFill="1" applyBorder="1" applyAlignment="1">
      <alignment horizontal="center" vertical="center"/>
    </xf>
    <xf numFmtId="43" fontId="4" fillId="2" borderId="21" xfId="1" applyNumberFormat="1" applyFont="1" applyFill="1" applyBorder="1" applyAlignment="1">
      <alignment horizontal="center" vertical="center"/>
    </xf>
    <xf numFmtId="43" fontId="4" fillId="2" borderId="2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3"/>
  <sheetViews>
    <sheetView tabSelected="1" zoomScaleNormal="100" workbookViewId="0">
      <pane ySplit="5" topLeftCell="A36" activePane="bottomLeft" state="frozen"/>
      <selection pane="bottomLeft" activeCell="D52" sqref="D52"/>
    </sheetView>
  </sheetViews>
  <sheetFormatPr defaultColWidth="9" defaultRowHeight="18" x14ac:dyDescent="0.25"/>
  <cols>
    <col min="1" max="1" width="11.140625" style="55" bestFit="1" customWidth="1"/>
    <col min="2" max="2" width="52.42578125" style="3" customWidth="1"/>
    <col min="3" max="3" width="14.7109375" style="3" bestFit="1" customWidth="1"/>
    <col min="4" max="4" width="29" style="56" bestFit="1" customWidth="1"/>
    <col min="5" max="5" width="14.5703125" style="3" bestFit="1" customWidth="1"/>
    <col min="6" max="6" width="12.5703125" style="3" bestFit="1" customWidth="1"/>
    <col min="7" max="7" width="25.5703125" style="3" bestFit="1" customWidth="1"/>
    <col min="8" max="8" width="14.28515625" style="57" bestFit="1" customWidth="1"/>
    <col min="9" max="9" width="14.5703125" style="57" bestFit="1" customWidth="1"/>
    <col min="10" max="10" width="11.28515625" style="3" bestFit="1" customWidth="1"/>
    <col min="11" max="11" width="20.7109375" style="3" bestFit="1" customWidth="1"/>
    <col min="12" max="14" width="14.5703125" style="3" bestFit="1" customWidth="1"/>
    <col min="15" max="15" width="18.28515625" style="3" bestFit="1" customWidth="1"/>
    <col min="16" max="16" width="14.85546875" style="3" customWidth="1"/>
    <col min="17" max="17" width="18.28515625" style="3" bestFit="1" customWidth="1"/>
    <col min="18" max="18" width="13.42578125" style="3" bestFit="1" customWidth="1"/>
    <col min="19" max="19" width="18.28515625" style="3" bestFit="1" customWidth="1"/>
    <col min="20" max="20" width="114.28515625" style="3" bestFit="1" customWidth="1"/>
    <col min="21" max="21" width="115.28515625" style="3" bestFit="1" customWidth="1"/>
    <col min="22" max="16384" width="9" style="3"/>
  </cols>
  <sheetData>
    <row r="1" spans="1:20" ht="21" x14ac:dyDescent="0.25">
      <c r="A1" s="74" t="s">
        <v>57</v>
      </c>
      <c r="B1" s="75" t="s">
        <v>63</v>
      </c>
      <c r="C1"/>
      <c r="D1" s="70"/>
      <c r="E1" s="71"/>
      <c r="F1" s="71"/>
      <c r="G1" s="71"/>
      <c r="H1" s="6"/>
      <c r="I1" s="6"/>
    </row>
    <row r="2" spans="1:20" ht="21" x14ac:dyDescent="0.25">
      <c r="A2" s="74" t="s">
        <v>58</v>
      </c>
      <c r="B2" t="s">
        <v>59</v>
      </c>
      <c r="D2" s="1"/>
      <c r="E2" s="69"/>
      <c r="F2" s="69"/>
      <c r="G2" s="54"/>
      <c r="I2" s="2"/>
    </row>
    <row r="3" spans="1:20" ht="21.75" thickBot="1" x14ac:dyDescent="0.3">
      <c r="A3" s="74" t="s">
        <v>60</v>
      </c>
      <c r="B3" t="s">
        <v>61</v>
      </c>
      <c r="D3" s="1"/>
      <c r="E3" s="69"/>
      <c r="F3" s="69"/>
      <c r="G3" s="54"/>
      <c r="I3" s="2"/>
    </row>
    <row r="4" spans="1:20" ht="18.75" thickBot="1" x14ac:dyDescent="0.3">
      <c r="A4" s="74" t="s">
        <v>62</v>
      </c>
      <c r="B4" t="s">
        <v>61</v>
      </c>
      <c r="D4" s="5"/>
      <c r="E4" s="4"/>
      <c r="H4" s="6"/>
      <c r="I4" s="6"/>
      <c r="R4" s="58"/>
      <c r="S4" s="7"/>
      <c r="T4" s="7"/>
    </row>
    <row r="5" spans="1:20" ht="36" x14ac:dyDescent="0.25">
      <c r="A5" s="76" t="s">
        <v>74</v>
      </c>
      <c r="B5" s="77" t="s">
        <v>75</v>
      </c>
      <c r="C5" s="78" t="s">
        <v>76</v>
      </c>
      <c r="D5" s="79" t="s">
        <v>77</v>
      </c>
      <c r="E5" s="77" t="s">
        <v>78</v>
      </c>
      <c r="F5" s="77" t="s">
        <v>79</v>
      </c>
      <c r="G5" s="79" t="s">
        <v>80</v>
      </c>
      <c r="H5" s="80" t="s">
        <v>81</v>
      </c>
      <c r="I5" s="81" t="s">
        <v>0</v>
      </c>
      <c r="J5" s="77" t="s">
        <v>82</v>
      </c>
      <c r="K5" s="77" t="s">
        <v>83</v>
      </c>
      <c r="L5" s="8" t="s">
        <v>36</v>
      </c>
      <c r="M5" s="8" t="s">
        <v>37</v>
      </c>
      <c r="N5" s="8" t="s">
        <v>20</v>
      </c>
      <c r="O5" s="77" t="s">
        <v>84</v>
      </c>
      <c r="P5" s="8" t="s">
        <v>43</v>
      </c>
      <c r="Q5" s="77" t="s">
        <v>85</v>
      </c>
      <c r="R5" s="8"/>
      <c r="S5" s="77" t="s">
        <v>86</v>
      </c>
      <c r="T5" s="8" t="s">
        <v>1</v>
      </c>
    </row>
    <row r="6" spans="1:20" ht="18.75" thickBot="1" x14ac:dyDescent="0.3">
      <c r="A6" s="9"/>
      <c r="B6" s="10"/>
      <c r="C6" s="10"/>
      <c r="D6" s="11"/>
      <c r="E6" s="10"/>
      <c r="F6" s="10"/>
      <c r="G6" s="10"/>
      <c r="H6" s="12">
        <v>0.18</v>
      </c>
      <c r="I6" s="10"/>
      <c r="J6" s="12">
        <v>0.01</v>
      </c>
      <c r="K6" s="12">
        <v>0.1</v>
      </c>
      <c r="L6" s="12"/>
      <c r="M6" s="12"/>
      <c r="N6" s="12">
        <v>0.1</v>
      </c>
      <c r="O6" s="12">
        <v>0.18</v>
      </c>
      <c r="P6" s="12"/>
      <c r="Q6" s="10"/>
      <c r="R6" s="13"/>
      <c r="S6" s="10"/>
      <c r="T6" s="10"/>
    </row>
    <row r="7" spans="1:20" s="60" customFormat="1" x14ac:dyDescent="0.25">
      <c r="A7" s="14"/>
      <c r="B7" s="15"/>
      <c r="C7" s="15"/>
      <c r="D7" s="16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7">
        <f>A8</f>
        <v>52758</v>
      </c>
      <c r="S7" s="15"/>
      <c r="T7" s="59"/>
    </row>
    <row r="8" spans="1:20" ht="33" x14ac:dyDescent="0.25">
      <c r="A8" s="18">
        <v>52758</v>
      </c>
      <c r="B8" s="19" t="s">
        <v>64</v>
      </c>
      <c r="C8" s="20">
        <v>44875</v>
      </c>
      <c r="D8" s="21">
        <v>2</v>
      </c>
      <c r="E8" s="22">
        <f>(370000+11000)</f>
        <v>381000</v>
      </c>
      <c r="F8" s="22">
        <f>30400+24203</f>
        <v>54603</v>
      </c>
      <c r="G8" s="22">
        <f>ROUND(E8-F8,0)</f>
        <v>326397</v>
      </c>
      <c r="H8" s="22">
        <f>ROUND(G8*H6,0)</f>
        <v>58751</v>
      </c>
      <c r="I8" s="22">
        <f>G8+H8</f>
        <v>385148</v>
      </c>
      <c r="J8" s="22">
        <f>G8*$J$6</f>
        <v>3263.9700000000003</v>
      </c>
      <c r="K8" s="22">
        <f>G8*$K$6</f>
        <v>32639.7</v>
      </c>
      <c r="L8" s="22"/>
      <c r="M8" s="22"/>
      <c r="N8" s="22"/>
      <c r="O8" s="23">
        <f>H8</f>
        <v>58751</v>
      </c>
      <c r="P8" s="72"/>
      <c r="Q8" s="22">
        <f>ROUND(I8-SUM(J8:O8),0)</f>
        <v>290493</v>
      </c>
      <c r="R8" s="18"/>
      <c r="S8" s="22">
        <v>250000</v>
      </c>
      <c r="T8" s="61" t="s">
        <v>2</v>
      </c>
    </row>
    <row r="9" spans="1:20" x14ac:dyDescent="0.25">
      <c r="A9" s="18">
        <v>52758</v>
      </c>
      <c r="B9" s="19" t="s">
        <v>65</v>
      </c>
      <c r="C9" s="20"/>
      <c r="D9" s="24">
        <v>2</v>
      </c>
      <c r="E9" s="22">
        <v>58751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3">
        <f>E9</f>
        <v>58751</v>
      </c>
      <c r="R9" s="18"/>
      <c r="S9" s="22">
        <v>40493</v>
      </c>
      <c r="T9" s="61" t="s">
        <v>3</v>
      </c>
    </row>
    <row r="10" spans="1:20" x14ac:dyDescent="0.25">
      <c r="A10" s="18"/>
      <c r="B10" s="19"/>
      <c r="C10" s="20"/>
      <c r="D10" s="25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>
        <f>I10-SUM(J10:O10)</f>
        <v>0</v>
      </c>
      <c r="R10" s="18"/>
      <c r="S10" s="22">
        <v>58751</v>
      </c>
      <c r="T10" s="61" t="s">
        <v>4</v>
      </c>
    </row>
    <row r="11" spans="1:20" s="60" customFormat="1" x14ac:dyDescent="0.25">
      <c r="A11" s="26"/>
      <c r="B11" s="27"/>
      <c r="C11" s="27"/>
      <c r="D11" s="28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9">
        <f>A12</f>
        <v>53258</v>
      </c>
      <c r="S11" s="27"/>
      <c r="T11" s="63"/>
    </row>
    <row r="12" spans="1:20" x14ac:dyDescent="0.25">
      <c r="A12" s="30">
        <v>53258</v>
      </c>
      <c r="B12" s="22" t="s">
        <v>17</v>
      </c>
      <c r="C12" s="22"/>
      <c r="D12" s="31">
        <v>3</v>
      </c>
      <c r="E12" s="22">
        <v>370000</v>
      </c>
      <c r="F12" s="22">
        <v>69075</v>
      </c>
      <c r="G12" s="22">
        <v>311925</v>
      </c>
      <c r="H12" s="22">
        <f>G12*18%</f>
        <v>56146.5</v>
      </c>
      <c r="I12" s="22">
        <f>G12+H12</f>
        <v>368071.5</v>
      </c>
      <c r="J12" s="22">
        <f>G12*1%</f>
        <v>3119.25</v>
      </c>
      <c r="K12" s="22">
        <f>G12*10%</f>
        <v>31192.5</v>
      </c>
      <c r="L12" s="22"/>
      <c r="M12" s="22"/>
      <c r="N12" s="22"/>
      <c r="O12" s="23">
        <f>G12*18%</f>
        <v>56146.5</v>
      </c>
      <c r="P12" s="72"/>
      <c r="Q12" s="22">
        <f>I12-O12-K12-J12</f>
        <v>277613.25</v>
      </c>
      <c r="R12" s="18"/>
      <c r="S12" s="22">
        <v>277613</v>
      </c>
      <c r="T12" s="61" t="s">
        <v>18</v>
      </c>
    </row>
    <row r="13" spans="1:20" x14ac:dyDescent="0.25">
      <c r="A13" s="30">
        <v>53258</v>
      </c>
      <c r="B13" s="22" t="s">
        <v>21</v>
      </c>
      <c r="C13" s="22"/>
      <c r="D13" s="31">
        <v>3</v>
      </c>
      <c r="E13" s="22">
        <v>56146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3">
        <f>E13</f>
        <v>56146</v>
      </c>
      <c r="R13" s="18"/>
      <c r="S13" s="22">
        <v>56147</v>
      </c>
      <c r="T13" s="61" t="s">
        <v>19</v>
      </c>
    </row>
    <row r="14" spans="1:20" s="60" customFormat="1" x14ac:dyDescent="0.25">
      <c r="A14" s="26"/>
      <c r="B14" s="27"/>
      <c r="C14" s="27"/>
      <c r="D14" s="28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9">
        <f>A15</f>
        <v>54877</v>
      </c>
      <c r="S14" s="27"/>
      <c r="T14" s="63"/>
    </row>
    <row r="15" spans="1:20" x14ac:dyDescent="0.25">
      <c r="A15" s="30">
        <v>54877</v>
      </c>
      <c r="B15" s="22" t="s">
        <v>14</v>
      </c>
      <c r="C15" s="22"/>
      <c r="D15" s="31">
        <v>4</v>
      </c>
      <c r="E15" s="22">
        <v>381000</v>
      </c>
      <c r="F15" s="22">
        <v>64514</v>
      </c>
      <c r="G15" s="22">
        <f>E15-F15</f>
        <v>316486</v>
      </c>
      <c r="H15" s="22">
        <f>G15*18%</f>
        <v>56967.479999999996</v>
      </c>
      <c r="I15" s="22">
        <f>G15+H15</f>
        <v>373453.48</v>
      </c>
      <c r="J15" s="22">
        <f>G15*1%</f>
        <v>3164.86</v>
      </c>
      <c r="K15" s="22">
        <f>G15*10%</f>
        <v>31648.600000000002</v>
      </c>
      <c r="L15" s="22"/>
      <c r="M15" s="22"/>
      <c r="N15" s="22"/>
      <c r="O15" s="23">
        <f>G15*18%</f>
        <v>56967.479999999996</v>
      </c>
      <c r="P15" s="72"/>
      <c r="Q15" s="22">
        <f>I15-J15-K15-O15</f>
        <v>281672.54000000004</v>
      </c>
      <c r="R15" s="18"/>
      <c r="S15" s="22">
        <v>281672</v>
      </c>
      <c r="T15" s="61" t="s">
        <v>15</v>
      </c>
    </row>
    <row r="16" spans="1:20" x14ac:dyDescent="0.25">
      <c r="A16" s="30">
        <v>54877</v>
      </c>
      <c r="B16" s="22" t="s">
        <v>65</v>
      </c>
      <c r="C16" s="22"/>
      <c r="D16" s="31">
        <v>4</v>
      </c>
      <c r="E16" s="22">
        <v>56967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3">
        <f>E16</f>
        <v>56967</v>
      </c>
      <c r="R16" s="18"/>
      <c r="S16" s="22">
        <v>56967</v>
      </c>
      <c r="T16" s="61" t="s">
        <v>16</v>
      </c>
    </row>
    <row r="17" spans="1:20" s="60" customFormat="1" x14ac:dyDescent="0.25">
      <c r="A17" s="26"/>
      <c r="B17" s="27"/>
      <c r="C17" s="27"/>
      <c r="D17" s="28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9">
        <f>A18</f>
        <v>55163</v>
      </c>
      <c r="S17" s="27"/>
      <c r="T17" s="63"/>
    </row>
    <row r="18" spans="1:20" x14ac:dyDescent="0.25">
      <c r="A18" s="30">
        <v>55163</v>
      </c>
      <c r="B18" s="22" t="s">
        <v>11</v>
      </c>
      <c r="C18" s="32">
        <v>44984</v>
      </c>
      <c r="D18" s="31">
        <v>5</v>
      </c>
      <c r="E18" s="22">
        <v>380993.68</v>
      </c>
      <c r="F18" s="22">
        <v>58124</v>
      </c>
      <c r="G18" s="22">
        <f>E18-F18</f>
        <v>322869.68</v>
      </c>
      <c r="H18" s="22">
        <v>58117.68</v>
      </c>
      <c r="I18" s="22">
        <f>G18-H18</f>
        <v>264752</v>
      </c>
      <c r="J18" s="22">
        <f>G18*1%</f>
        <v>3228.6968000000002</v>
      </c>
      <c r="K18" s="22">
        <f>G18*10%</f>
        <v>32286.968000000001</v>
      </c>
      <c r="L18" s="22"/>
      <c r="M18" s="22"/>
      <c r="N18" s="22"/>
      <c r="O18" s="23">
        <v>58124</v>
      </c>
      <c r="P18" s="72"/>
      <c r="Q18" s="22">
        <f>G18-K18-J18</f>
        <v>287354.01520000002</v>
      </c>
      <c r="R18" s="18"/>
      <c r="S18" s="22">
        <v>287359</v>
      </c>
      <c r="T18" s="61" t="s">
        <v>12</v>
      </c>
    </row>
    <row r="19" spans="1:20" x14ac:dyDescent="0.25">
      <c r="A19" s="30">
        <v>55163</v>
      </c>
      <c r="B19" s="22" t="s">
        <v>65</v>
      </c>
      <c r="C19" s="33">
        <v>45071</v>
      </c>
      <c r="D19" s="31">
        <v>5</v>
      </c>
      <c r="E19" s="22">
        <v>58117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3">
        <f>E19</f>
        <v>58117</v>
      </c>
      <c r="R19" s="18"/>
      <c r="S19" s="22">
        <v>58118</v>
      </c>
      <c r="T19" s="61" t="s">
        <v>13</v>
      </c>
    </row>
    <row r="20" spans="1:20" s="60" customFormat="1" x14ac:dyDescent="0.25">
      <c r="A20" s="26"/>
      <c r="B20" s="27"/>
      <c r="C20" s="27"/>
      <c r="D20" s="28"/>
      <c r="E20" s="27"/>
      <c r="F20" s="27"/>
      <c r="G20" s="27">
        <f>E20-F20</f>
        <v>0</v>
      </c>
      <c r="H20" s="27">
        <v>0</v>
      </c>
      <c r="I20" s="27">
        <f t="shared" ref="I20:I21" si="0">G20+H20</f>
        <v>0</v>
      </c>
      <c r="J20" s="27">
        <f>J$6*I20</f>
        <v>0</v>
      </c>
      <c r="K20" s="27">
        <v>0</v>
      </c>
      <c r="L20" s="27"/>
      <c r="M20" s="27"/>
      <c r="N20" s="27"/>
      <c r="O20" s="27">
        <v>0</v>
      </c>
      <c r="P20" s="27"/>
      <c r="Q20" s="27"/>
      <c r="R20" s="29">
        <f>A21</f>
        <v>55166</v>
      </c>
      <c r="S20" s="27"/>
      <c r="T20" s="63"/>
    </row>
    <row r="21" spans="1:20" ht="33" x14ac:dyDescent="0.25">
      <c r="A21" s="18">
        <v>55166</v>
      </c>
      <c r="B21" s="19" t="s">
        <v>66</v>
      </c>
      <c r="C21" s="20">
        <v>45078</v>
      </c>
      <c r="D21" s="21">
        <v>2</v>
      </c>
      <c r="E21" s="22">
        <f>(350000+11000)</f>
        <v>361000</v>
      </c>
      <c r="F21" s="22">
        <v>40210</v>
      </c>
      <c r="G21" s="22">
        <f>ROUND(E21-F21,0)</f>
        <v>320790</v>
      </c>
      <c r="H21" s="22">
        <f>ROUND(G21*H6,0)</f>
        <v>57742</v>
      </c>
      <c r="I21" s="22">
        <f t="shared" si="0"/>
        <v>378532</v>
      </c>
      <c r="J21" s="22">
        <f>G21*$J$6</f>
        <v>3207.9</v>
      </c>
      <c r="K21" s="22">
        <f>G21*$K$6</f>
        <v>32079</v>
      </c>
      <c r="L21" s="22"/>
      <c r="M21" s="22"/>
      <c r="N21" s="22"/>
      <c r="O21" s="23">
        <f>H21</f>
        <v>57742</v>
      </c>
      <c r="P21" s="72"/>
      <c r="Q21" s="22">
        <f>ROUND(I21-SUM(J21:O21),0)</f>
        <v>285503</v>
      </c>
      <c r="R21" s="18"/>
      <c r="S21" s="22">
        <v>285503</v>
      </c>
      <c r="T21" s="61" t="s">
        <v>5</v>
      </c>
    </row>
    <row r="22" spans="1:20" x14ac:dyDescent="0.25">
      <c r="A22" s="18">
        <v>55166</v>
      </c>
      <c r="B22" s="22" t="s">
        <v>65</v>
      </c>
      <c r="C22" s="20"/>
      <c r="D22" s="24">
        <v>2</v>
      </c>
      <c r="E22" s="22">
        <f>O21</f>
        <v>57742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3">
        <f>E22</f>
        <v>57742</v>
      </c>
      <c r="R22" s="18"/>
      <c r="S22" s="22">
        <v>57742</v>
      </c>
      <c r="T22" s="61" t="s">
        <v>8</v>
      </c>
    </row>
    <row r="23" spans="1:20" s="60" customFormat="1" x14ac:dyDescent="0.25">
      <c r="A23" s="26"/>
      <c r="B23" s="27"/>
      <c r="C23" s="27"/>
      <c r="D23" s="28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9">
        <f>A24</f>
        <v>55167</v>
      </c>
      <c r="S23" s="27"/>
      <c r="T23" s="63"/>
    </row>
    <row r="24" spans="1:20" ht="33" x14ac:dyDescent="0.25">
      <c r="A24" s="18">
        <v>55167</v>
      </c>
      <c r="B24" s="19" t="s">
        <v>67</v>
      </c>
      <c r="C24" s="20">
        <v>45078</v>
      </c>
      <c r="D24" s="25">
        <v>3</v>
      </c>
      <c r="E24" s="22">
        <v>381000</v>
      </c>
      <c r="F24" s="22">
        <v>59049</v>
      </c>
      <c r="G24" s="22">
        <f>E24-F24</f>
        <v>321951</v>
      </c>
      <c r="H24" s="22">
        <f>ROUND(G24*18%,0)</f>
        <v>57951</v>
      </c>
      <c r="I24" s="22">
        <f>G24+H24</f>
        <v>379902</v>
      </c>
      <c r="J24" s="22">
        <f>J6*G24</f>
        <v>3219.51</v>
      </c>
      <c r="K24" s="22">
        <f>K6*G24</f>
        <v>32195.100000000002</v>
      </c>
      <c r="L24" s="22"/>
      <c r="M24" s="22"/>
      <c r="N24" s="22"/>
      <c r="O24" s="23">
        <f>H24</f>
        <v>57951</v>
      </c>
      <c r="P24" s="72"/>
      <c r="Q24" s="22">
        <f>ROUNDUP(I24-SUM(J24:O24),0)</f>
        <v>286537</v>
      </c>
      <c r="R24" s="18"/>
      <c r="S24" s="22">
        <v>286536</v>
      </c>
      <c r="T24" s="61" t="s">
        <v>7</v>
      </c>
    </row>
    <row r="25" spans="1:20" x14ac:dyDescent="0.25">
      <c r="A25" s="18">
        <v>55167</v>
      </c>
      <c r="B25" s="22" t="s">
        <v>65</v>
      </c>
      <c r="C25" s="20">
        <v>45224</v>
      </c>
      <c r="D25" s="25">
        <v>3</v>
      </c>
      <c r="E25" s="35">
        <v>57951</v>
      </c>
      <c r="F25" s="35"/>
      <c r="G25" s="22"/>
      <c r="H25" s="22"/>
      <c r="I25" s="22"/>
      <c r="J25" s="22"/>
      <c r="K25" s="22"/>
      <c r="L25" s="22"/>
      <c r="M25" s="22"/>
      <c r="N25" s="22"/>
      <c r="O25" s="62"/>
      <c r="P25" s="62"/>
      <c r="Q25" s="23">
        <f>E25</f>
        <v>57951</v>
      </c>
      <c r="R25" s="18"/>
      <c r="S25" s="22">
        <v>57951</v>
      </c>
      <c r="T25" s="61" t="s">
        <v>31</v>
      </c>
    </row>
    <row r="26" spans="1:20" s="60" customFormat="1" x14ac:dyDescent="0.25">
      <c r="A26" s="26"/>
      <c r="B26" s="27"/>
      <c r="C26" s="27"/>
      <c r="D26" s="28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9">
        <f>A27</f>
        <v>55311</v>
      </c>
      <c r="S26" s="27"/>
      <c r="T26" s="63"/>
    </row>
    <row r="27" spans="1:20" ht="33" x14ac:dyDescent="0.25">
      <c r="A27" s="18">
        <v>55311</v>
      </c>
      <c r="B27" s="19" t="s">
        <v>68</v>
      </c>
      <c r="C27" s="20">
        <v>45078</v>
      </c>
      <c r="D27" s="21">
        <v>1</v>
      </c>
      <c r="E27" s="22">
        <f>(370000+11000)</f>
        <v>381000</v>
      </c>
      <c r="F27" s="22">
        <v>57372</v>
      </c>
      <c r="G27" s="22">
        <f>ROUND(E27-F27,0)</f>
        <v>323628</v>
      </c>
      <c r="H27" s="22">
        <f>ROUND(G27*H6,0)</f>
        <v>58253</v>
      </c>
      <c r="I27" s="22">
        <f>G27+H27</f>
        <v>381881</v>
      </c>
      <c r="J27" s="22">
        <f>G27*$J$6</f>
        <v>3236.28</v>
      </c>
      <c r="K27" s="22">
        <f>G27*$K$6</f>
        <v>32362.800000000003</v>
      </c>
      <c r="L27" s="22"/>
      <c r="M27" s="22"/>
      <c r="N27" s="22"/>
      <c r="O27" s="23">
        <f>H27</f>
        <v>58253</v>
      </c>
      <c r="P27" s="72"/>
      <c r="Q27" s="22">
        <f>ROUND(I27-SUM(J27:O27),0)</f>
        <v>288029</v>
      </c>
      <c r="R27" s="18"/>
      <c r="S27" s="22">
        <v>288029</v>
      </c>
      <c r="T27" s="61" t="s">
        <v>6</v>
      </c>
    </row>
    <row r="28" spans="1:20" x14ac:dyDescent="0.25">
      <c r="A28" s="18">
        <v>55311</v>
      </c>
      <c r="B28" s="22" t="s">
        <v>65</v>
      </c>
      <c r="C28" s="20"/>
      <c r="D28" s="24">
        <v>1</v>
      </c>
      <c r="E28" s="22">
        <f>O27</f>
        <v>58253</v>
      </c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3">
        <f>E28</f>
        <v>58253</v>
      </c>
      <c r="R28" s="18"/>
      <c r="S28" s="22">
        <v>58253</v>
      </c>
      <c r="T28" s="61" t="s">
        <v>9</v>
      </c>
    </row>
    <row r="29" spans="1:20" s="60" customFormat="1" x14ac:dyDescent="0.25">
      <c r="A29" s="26"/>
      <c r="B29" s="27"/>
      <c r="C29" s="27"/>
      <c r="D29" s="28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9">
        <f>A30</f>
        <v>58960</v>
      </c>
      <c r="S29" s="27"/>
      <c r="T29" s="63"/>
    </row>
    <row r="30" spans="1:20" x14ac:dyDescent="0.25">
      <c r="A30" s="18">
        <v>58960</v>
      </c>
      <c r="B30" s="19" t="s">
        <v>89</v>
      </c>
      <c r="C30" s="20">
        <v>45156</v>
      </c>
      <c r="D30" s="21">
        <v>4</v>
      </c>
      <c r="E30" s="22">
        <v>210000</v>
      </c>
      <c r="F30" s="22">
        <v>48752</v>
      </c>
      <c r="G30" s="22">
        <f>ROUND(E30-F30,0)</f>
        <v>161248</v>
      </c>
      <c r="H30" s="22">
        <f>ROUND(G30*H6,0)</f>
        <v>29025</v>
      </c>
      <c r="I30" s="22">
        <f>G30+H30</f>
        <v>190273</v>
      </c>
      <c r="J30" s="22">
        <f>G30*$J$6</f>
        <v>1612.48</v>
      </c>
      <c r="K30" s="22">
        <f>G30*$K$6</f>
        <v>16124.800000000001</v>
      </c>
      <c r="L30" s="22"/>
      <c r="M30" s="22"/>
      <c r="N30" s="22"/>
      <c r="O30" s="23">
        <f>H30</f>
        <v>29025</v>
      </c>
      <c r="P30" s="72"/>
      <c r="Q30" s="22">
        <f>ROUND(I30-SUM(J30:O30),0)</f>
        <v>143511</v>
      </c>
      <c r="R30" s="18"/>
      <c r="S30" s="22">
        <v>143510</v>
      </c>
      <c r="T30" s="61" t="s">
        <v>10</v>
      </c>
    </row>
    <row r="31" spans="1:20" x14ac:dyDescent="0.25">
      <c r="A31" s="18">
        <v>58960</v>
      </c>
      <c r="B31" s="19" t="s">
        <v>65</v>
      </c>
      <c r="C31" s="20"/>
      <c r="D31" s="24">
        <v>4</v>
      </c>
      <c r="E31" s="22">
        <f>H30</f>
        <v>29025</v>
      </c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3">
        <f>E31</f>
        <v>29025</v>
      </c>
      <c r="R31" s="18"/>
      <c r="S31" s="22">
        <v>20880</v>
      </c>
      <c r="T31" s="61" t="s">
        <v>34</v>
      </c>
    </row>
    <row r="32" spans="1:20" x14ac:dyDescent="0.25">
      <c r="A32" s="18">
        <v>58960</v>
      </c>
      <c r="B32" s="19" t="s">
        <v>89</v>
      </c>
      <c r="C32" s="20">
        <v>45238</v>
      </c>
      <c r="D32" s="21">
        <v>12</v>
      </c>
      <c r="E32" s="22">
        <v>116000</v>
      </c>
      <c r="F32" s="22">
        <v>0</v>
      </c>
      <c r="G32" s="22">
        <f>ROUND(E32-F32,0)</f>
        <v>116000</v>
      </c>
      <c r="H32" s="22">
        <f>G32*18%</f>
        <v>20880</v>
      </c>
      <c r="I32" s="22">
        <f>G32+H32</f>
        <v>136880</v>
      </c>
      <c r="J32" s="22">
        <f>G32*$J$6</f>
        <v>1160</v>
      </c>
      <c r="K32" s="22">
        <f>G32*$K$6</f>
        <v>11600</v>
      </c>
      <c r="L32" s="22"/>
      <c r="M32" s="22"/>
      <c r="N32" s="22"/>
      <c r="O32" s="23">
        <f>H32</f>
        <v>20880</v>
      </c>
      <c r="P32" s="72"/>
      <c r="Q32" s="22">
        <f>ROUND(I32-SUM(J32:O32),0)</f>
        <v>103240</v>
      </c>
      <c r="R32" s="18"/>
      <c r="S32" s="22">
        <v>103240</v>
      </c>
      <c r="T32" s="61" t="s">
        <v>32</v>
      </c>
    </row>
    <row r="33" spans="1:21" x14ac:dyDescent="0.25">
      <c r="A33" s="18">
        <v>58960</v>
      </c>
      <c r="B33" s="19" t="s">
        <v>65</v>
      </c>
      <c r="C33" s="20"/>
      <c r="D33" s="24">
        <v>12</v>
      </c>
      <c r="E33" s="22">
        <f>H32</f>
        <v>20880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3">
        <f>E33</f>
        <v>20880</v>
      </c>
      <c r="R33" s="18"/>
      <c r="S33" s="22">
        <v>29024</v>
      </c>
      <c r="T33" s="61" t="s">
        <v>33</v>
      </c>
    </row>
    <row r="34" spans="1:21" s="60" customFormat="1" x14ac:dyDescent="0.25">
      <c r="A34" s="26"/>
      <c r="B34" s="27"/>
      <c r="C34" s="27"/>
      <c r="D34" s="28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9">
        <f>A35</f>
        <v>58961</v>
      </c>
      <c r="S34" s="27"/>
      <c r="T34" s="63"/>
      <c r="U34" s="60" t="s">
        <v>35</v>
      </c>
    </row>
    <row r="35" spans="1:21" ht="33" x14ac:dyDescent="0.25">
      <c r="A35" s="18">
        <v>58961</v>
      </c>
      <c r="B35" s="19" t="s">
        <v>90</v>
      </c>
      <c r="C35" s="20">
        <v>45156</v>
      </c>
      <c r="D35" s="21">
        <v>7</v>
      </c>
      <c r="E35" s="22">
        <v>210000</v>
      </c>
      <c r="F35" s="22">
        <v>39252.300000000003</v>
      </c>
      <c r="G35" s="22">
        <f>ROUND(E35-F35,0)</f>
        <v>170748</v>
      </c>
      <c r="H35" s="22">
        <f>ROUND(G35*H6,0)</f>
        <v>30735</v>
      </c>
      <c r="I35" s="22">
        <f>G35+H35</f>
        <v>201483</v>
      </c>
      <c r="J35" s="22">
        <f>G35*$J$6</f>
        <v>1707.48</v>
      </c>
      <c r="K35" s="22">
        <f>G35*$K$6</f>
        <v>17074.8</v>
      </c>
      <c r="L35" s="22"/>
      <c r="M35" s="22"/>
      <c r="N35" s="22"/>
      <c r="O35" s="23">
        <f>H35</f>
        <v>30735</v>
      </c>
      <c r="P35" s="72"/>
      <c r="Q35" s="22">
        <f>ROUND(I35-SUM(J35:O35),0)</f>
        <v>151966</v>
      </c>
      <c r="R35" s="18"/>
      <c r="S35" s="22">
        <v>151965</v>
      </c>
      <c r="T35" s="64" t="s">
        <v>40</v>
      </c>
    </row>
    <row r="36" spans="1:21" x14ac:dyDescent="0.25">
      <c r="A36" s="18">
        <v>58961</v>
      </c>
      <c r="B36" s="19" t="s">
        <v>65</v>
      </c>
      <c r="C36" s="20"/>
      <c r="D36" s="24">
        <v>7</v>
      </c>
      <c r="E36" s="22">
        <f>O35</f>
        <v>30735</v>
      </c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3">
        <f>E36</f>
        <v>30735</v>
      </c>
      <c r="R36" s="18"/>
      <c r="S36" s="22">
        <v>30734</v>
      </c>
      <c r="T36" s="64" t="s">
        <v>42</v>
      </c>
    </row>
    <row r="37" spans="1:21" ht="33" x14ac:dyDescent="0.25">
      <c r="A37" s="18">
        <v>58961</v>
      </c>
      <c r="B37" s="19" t="s">
        <v>90</v>
      </c>
      <c r="C37" s="20">
        <v>45194</v>
      </c>
      <c r="D37" s="36">
        <v>10</v>
      </c>
      <c r="E37" s="22">
        <v>151000</v>
      </c>
      <c r="F37" s="22">
        <v>0</v>
      </c>
      <c r="G37" s="22">
        <f>ROUND(E37-F37,0)</f>
        <v>151000</v>
      </c>
      <c r="H37" s="22">
        <f>G37*18%</f>
        <v>27180</v>
      </c>
      <c r="I37" s="22">
        <f>G37+H37</f>
        <v>178180</v>
      </c>
      <c r="J37" s="22">
        <f>G37*$J$6</f>
        <v>1510</v>
      </c>
      <c r="K37" s="22">
        <f>G37*10%</f>
        <v>15100</v>
      </c>
      <c r="L37" s="22"/>
      <c r="M37" s="22"/>
      <c r="N37" s="22"/>
      <c r="O37" s="23">
        <f>H37</f>
        <v>27180</v>
      </c>
      <c r="P37" s="72"/>
      <c r="Q37" s="22">
        <f>ROUND(I37-SUM(J37:O37),0)</f>
        <v>134390</v>
      </c>
      <c r="R37" s="18"/>
      <c r="S37" s="22">
        <v>134390</v>
      </c>
      <c r="T37" s="64" t="s">
        <v>41</v>
      </c>
    </row>
    <row r="38" spans="1:21" x14ac:dyDescent="0.25">
      <c r="A38" s="18">
        <v>58961</v>
      </c>
      <c r="B38" s="19" t="s">
        <v>65</v>
      </c>
      <c r="C38" s="20"/>
      <c r="D38" s="36">
        <v>10</v>
      </c>
      <c r="E38" s="22">
        <f>O37</f>
        <v>27180</v>
      </c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3">
        <f>E38</f>
        <v>27180</v>
      </c>
      <c r="R38" s="18"/>
      <c r="S38" s="22">
        <v>27180</v>
      </c>
      <c r="T38" s="3" t="s">
        <v>48</v>
      </c>
    </row>
    <row r="39" spans="1:21" s="60" customFormat="1" x14ac:dyDescent="0.25">
      <c r="A39" s="26"/>
      <c r="B39" s="27"/>
      <c r="C39" s="27"/>
      <c r="D39" s="28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9">
        <f>A40</f>
        <v>59643</v>
      </c>
      <c r="S39" s="27"/>
      <c r="T39" s="63"/>
    </row>
    <row r="40" spans="1:21" x14ac:dyDescent="0.25">
      <c r="A40" s="18">
        <v>59643</v>
      </c>
      <c r="B40" s="19" t="s">
        <v>69</v>
      </c>
      <c r="C40" s="20">
        <v>45167</v>
      </c>
      <c r="D40" s="25">
        <v>8</v>
      </c>
      <c r="E40" s="22">
        <v>361000</v>
      </c>
      <c r="F40" s="22">
        <v>41152</v>
      </c>
      <c r="G40" s="22">
        <f>E40-F40</f>
        <v>319848</v>
      </c>
      <c r="H40" s="22">
        <f>ROUND(G40*18%,0)</f>
        <v>57573</v>
      </c>
      <c r="I40" s="22">
        <f>G40+H40</f>
        <v>377421</v>
      </c>
      <c r="J40" s="22">
        <f>G40*1%</f>
        <v>3198.48</v>
      </c>
      <c r="K40" s="22">
        <f>G40*10%</f>
        <v>31984.800000000003</v>
      </c>
      <c r="L40" s="22"/>
      <c r="M40" s="22"/>
      <c r="N40" s="22"/>
      <c r="O40" s="23">
        <f>H40</f>
        <v>57573</v>
      </c>
      <c r="P40" s="72"/>
      <c r="Q40" s="22">
        <f>ROUNDUP(I40-SUM(J40:O40),0)</f>
        <v>284665</v>
      </c>
      <c r="R40" s="18"/>
      <c r="S40" s="22">
        <v>284664</v>
      </c>
      <c r="T40" s="22" t="s">
        <v>24</v>
      </c>
    </row>
    <row r="41" spans="1:21" x14ac:dyDescent="0.25">
      <c r="A41" s="18">
        <v>59643</v>
      </c>
      <c r="B41" s="19" t="s">
        <v>65</v>
      </c>
      <c r="C41" s="20">
        <v>45220</v>
      </c>
      <c r="D41" s="25">
        <v>8</v>
      </c>
      <c r="E41" s="22">
        <v>57573</v>
      </c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3">
        <f>E41</f>
        <v>57573</v>
      </c>
      <c r="R41" s="18"/>
      <c r="S41" s="22">
        <v>57573</v>
      </c>
      <c r="T41" s="22" t="s">
        <v>30</v>
      </c>
    </row>
    <row r="42" spans="1:21" s="60" customFormat="1" x14ac:dyDescent="0.25">
      <c r="A42" s="26"/>
      <c r="B42" s="27"/>
      <c r="C42" s="27"/>
      <c r="D42" s="28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9">
        <f>A43</f>
        <v>59780</v>
      </c>
      <c r="S42" s="27"/>
      <c r="T42" s="63"/>
    </row>
    <row r="43" spans="1:21" x14ac:dyDescent="0.25">
      <c r="A43" s="18">
        <v>59780</v>
      </c>
      <c r="B43" s="19" t="s">
        <v>70</v>
      </c>
      <c r="C43" s="20">
        <v>45190</v>
      </c>
      <c r="D43" s="36">
        <v>9</v>
      </c>
      <c r="E43" s="22">
        <v>381000</v>
      </c>
      <c r="F43" s="22">
        <v>28500</v>
      </c>
      <c r="G43" s="22">
        <f>ROUND(E43-F43,0)</f>
        <v>352500</v>
      </c>
      <c r="H43" s="22">
        <f>G43*18%</f>
        <v>63450</v>
      </c>
      <c r="I43" s="22">
        <f>G43+H43</f>
        <v>415950</v>
      </c>
      <c r="J43" s="22">
        <f>G43*$J$6</f>
        <v>3525</v>
      </c>
      <c r="K43" s="22">
        <f>G43*$K$6</f>
        <v>35250</v>
      </c>
      <c r="L43" s="22"/>
      <c r="M43" s="22"/>
      <c r="N43" s="22">
        <f>G43*$K$6</f>
        <v>35250</v>
      </c>
      <c r="O43" s="23">
        <f>H43</f>
        <v>63450</v>
      </c>
      <c r="P43" s="72"/>
      <c r="Q43" s="22">
        <f>ROUND(I43-SUM(J43:O43),0)</f>
        <v>278475</v>
      </c>
      <c r="R43" s="18"/>
      <c r="S43" s="22">
        <v>278475</v>
      </c>
      <c r="T43" s="61" t="s">
        <v>23</v>
      </c>
    </row>
    <row r="44" spans="1:21" x14ac:dyDescent="0.25">
      <c r="A44" s="18">
        <v>59780</v>
      </c>
      <c r="B44" s="19" t="s">
        <v>65</v>
      </c>
      <c r="C44" s="20">
        <v>45221</v>
      </c>
      <c r="D44" s="25">
        <v>9</v>
      </c>
      <c r="E44" s="22">
        <v>63450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3">
        <f>E44</f>
        <v>63450</v>
      </c>
      <c r="R44" s="37"/>
      <c r="S44" s="22">
        <v>63450</v>
      </c>
      <c r="T44" s="61" t="s">
        <v>29</v>
      </c>
    </row>
    <row r="45" spans="1:21" x14ac:dyDescent="0.25">
      <c r="A45" s="18"/>
      <c r="B45" s="19"/>
      <c r="C45" s="20"/>
      <c r="D45" s="25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37"/>
      <c r="S45" s="22"/>
      <c r="T45" s="61"/>
    </row>
    <row r="46" spans="1:21" s="60" customFormat="1" x14ac:dyDescent="0.25">
      <c r="A46" s="26"/>
      <c r="B46" s="27"/>
      <c r="C46" s="27"/>
      <c r="D46" s="28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9">
        <f>A47</f>
        <v>60092</v>
      </c>
      <c r="S46" s="27"/>
      <c r="T46" s="63"/>
    </row>
    <row r="47" spans="1:21" ht="33" x14ac:dyDescent="0.25">
      <c r="A47" s="18">
        <v>60092</v>
      </c>
      <c r="B47" s="19" t="s">
        <v>88</v>
      </c>
      <c r="C47" s="33">
        <v>45236</v>
      </c>
      <c r="D47" s="38">
        <v>11</v>
      </c>
      <c r="E47" s="22">
        <v>291116</v>
      </c>
      <c r="F47" s="22">
        <v>36500</v>
      </c>
      <c r="G47" s="22">
        <f>E47-F47</f>
        <v>254616</v>
      </c>
      <c r="H47" s="22">
        <f>G47*18%</f>
        <v>45830.879999999997</v>
      </c>
      <c r="I47" s="22">
        <f>G47+H47</f>
        <v>300446.88</v>
      </c>
      <c r="J47" s="22">
        <f>G47*1%</f>
        <v>2546.16</v>
      </c>
      <c r="K47" s="22">
        <f>G47*5%</f>
        <v>12730.800000000001</v>
      </c>
      <c r="L47" s="22"/>
      <c r="M47" s="22"/>
      <c r="N47" s="22"/>
      <c r="O47" s="23">
        <f>H47</f>
        <v>45830.879999999997</v>
      </c>
      <c r="P47" s="72"/>
      <c r="Q47" s="22">
        <f>I47-J47-K47-O47</f>
        <v>239339.04000000004</v>
      </c>
      <c r="R47" s="39"/>
      <c r="S47" s="22">
        <v>148500</v>
      </c>
      <c r="T47" s="61" t="s">
        <v>25</v>
      </c>
    </row>
    <row r="48" spans="1:21" x14ac:dyDescent="0.25">
      <c r="A48" s="18">
        <v>60092</v>
      </c>
      <c r="B48" s="19" t="s">
        <v>22</v>
      </c>
      <c r="C48" s="20"/>
      <c r="D48" s="25">
        <v>11</v>
      </c>
      <c r="E48" s="22">
        <f>O47</f>
        <v>45830.879999999997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3">
        <f>E48</f>
        <v>45830.879999999997</v>
      </c>
      <c r="R48" s="39"/>
      <c r="S48" s="22">
        <v>90839</v>
      </c>
      <c r="T48" s="61" t="s">
        <v>27</v>
      </c>
    </row>
    <row r="49" spans="1:20" x14ac:dyDescent="0.25">
      <c r="A49" s="18">
        <v>60092</v>
      </c>
      <c r="B49" s="19"/>
      <c r="C49" s="20"/>
      <c r="D49" s="25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39"/>
      <c r="S49" s="22">
        <v>45831</v>
      </c>
      <c r="T49" s="61" t="s">
        <v>28</v>
      </c>
    </row>
    <row r="50" spans="1:20" s="60" customFormat="1" x14ac:dyDescent="0.25">
      <c r="A50" s="26"/>
      <c r="B50" s="27"/>
      <c r="C50" s="27"/>
      <c r="D50" s="28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>
        <f>A51</f>
        <v>60127</v>
      </c>
      <c r="S50" s="27"/>
      <c r="T50" s="63"/>
    </row>
    <row r="51" spans="1:20" x14ac:dyDescent="0.25">
      <c r="A51" s="34">
        <v>60127</v>
      </c>
      <c r="B51" s="25" t="s">
        <v>87</v>
      </c>
      <c r="C51" s="40">
        <v>45241</v>
      </c>
      <c r="D51" s="25">
        <v>13</v>
      </c>
      <c r="E51" s="35">
        <v>654877</v>
      </c>
      <c r="F51" s="35">
        <v>74750</v>
      </c>
      <c r="G51" s="35">
        <f>E51-F51</f>
        <v>580127</v>
      </c>
      <c r="H51" s="22">
        <f>G51*18%</f>
        <v>104422.86</v>
      </c>
      <c r="I51" s="22">
        <f>G51+H51</f>
        <v>684549.86</v>
      </c>
      <c r="J51" s="22">
        <f>G51*1%</f>
        <v>5801.27</v>
      </c>
      <c r="K51" s="22">
        <f>G51*5%</f>
        <v>29006.350000000002</v>
      </c>
      <c r="L51" s="22">
        <f>G51*10%</f>
        <v>58012.700000000004</v>
      </c>
      <c r="M51" s="22">
        <f>G51*10%</f>
        <v>58012.700000000004</v>
      </c>
      <c r="N51" s="22"/>
      <c r="O51" s="23">
        <f>G51*18%</f>
        <v>104422.86</v>
      </c>
      <c r="P51" s="72"/>
      <c r="Q51" s="22">
        <f>I51-SUM(J51:O51)</f>
        <v>429293.98</v>
      </c>
      <c r="R51" s="18"/>
      <c r="S51" s="22">
        <v>429294</v>
      </c>
      <c r="T51" s="22" t="s">
        <v>26</v>
      </c>
    </row>
    <row r="52" spans="1:20" x14ac:dyDescent="0.25">
      <c r="A52" s="34">
        <v>60127</v>
      </c>
      <c r="B52" s="19" t="s">
        <v>65</v>
      </c>
      <c r="C52" s="20"/>
      <c r="D52" s="25">
        <v>13</v>
      </c>
      <c r="E52" s="22">
        <f>O51</f>
        <v>104422.86</v>
      </c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3">
        <f>E52</f>
        <v>104422.86</v>
      </c>
      <c r="R52" s="18"/>
      <c r="S52" s="22">
        <v>55001</v>
      </c>
      <c r="T52" s="22" t="s">
        <v>38</v>
      </c>
    </row>
    <row r="53" spans="1:20" x14ac:dyDescent="0.25">
      <c r="A53" s="34">
        <v>60127</v>
      </c>
      <c r="B53" s="25" t="s">
        <v>87</v>
      </c>
      <c r="C53" s="20">
        <v>45303</v>
      </c>
      <c r="D53" s="25">
        <v>14</v>
      </c>
      <c r="E53" s="22">
        <v>74324</v>
      </c>
      <c r="F53" s="22"/>
      <c r="G53" s="35">
        <f>E53-F53</f>
        <v>74324</v>
      </c>
      <c r="H53" s="22">
        <f>G53*18%</f>
        <v>13378.32</v>
      </c>
      <c r="I53" s="22">
        <f>G53+H53</f>
        <v>87702.32</v>
      </c>
      <c r="J53" s="22">
        <f>G53*1%</f>
        <v>743.24</v>
      </c>
      <c r="K53" s="22">
        <f>G53*5%</f>
        <v>3716.2000000000003</v>
      </c>
      <c r="L53" s="22">
        <f>G53*10%</f>
        <v>7432.4000000000005</v>
      </c>
      <c r="M53" s="22">
        <f>G53*10%</f>
        <v>7432.4000000000005</v>
      </c>
      <c r="N53" s="22"/>
      <c r="O53" s="23">
        <f>G53*18%</f>
        <v>13378.32</v>
      </c>
      <c r="P53" s="72"/>
      <c r="Q53" s="41">
        <f>I53-SUM(J53:O53)</f>
        <v>54999.760000000009</v>
      </c>
      <c r="R53" s="18"/>
      <c r="S53" s="22">
        <v>104423</v>
      </c>
      <c r="T53" s="22" t="s">
        <v>39</v>
      </c>
    </row>
    <row r="54" spans="1:20" x14ac:dyDescent="0.25">
      <c r="A54" s="34">
        <v>60127</v>
      </c>
      <c r="B54" s="19" t="s">
        <v>65</v>
      </c>
      <c r="C54" s="20"/>
      <c r="D54" s="25">
        <v>14</v>
      </c>
      <c r="E54" s="22">
        <f>O53</f>
        <v>13378.32</v>
      </c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3">
        <f>E54</f>
        <v>13378.32</v>
      </c>
      <c r="R54" s="18"/>
      <c r="S54" s="22">
        <v>13378</v>
      </c>
      <c r="T54" s="22" t="s">
        <v>49</v>
      </c>
    </row>
    <row r="55" spans="1:20" x14ac:dyDescent="0.25">
      <c r="A55" s="34"/>
      <c r="B55" s="19"/>
      <c r="C55" s="20"/>
      <c r="D55" s="25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18"/>
      <c r="S55" s="22"/>
      <c r="T55" s="22"/>
    </row>
    <row r="56" spans="1:20" s="60" customFormat="1" x14ac:dyDescent="0.25">
      <c r="A56" s="26"/>
      <c r="B56" s="27"/>
      <c r="C56" s="27"/>
      <c r="D56" s="28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9">
        <v>65956</v>
      </c>
      <c r="S56" s="27"/>
      <c r="T56" s="63"/>
    </row>
    <row r="57" spans="1:20" x14ac:dyDescent="0.25">
      <c r="A57" s="34">
        <v>65956</v>
      </c>
      <c r="B57" s="19" t="s">
        <v>71</v>
      </c>
      <c r="C57" s="20">
        <v>45537</v>
      </c>
      <c r="D57" s="25">
        <v>1</v>
      </c>
      <c r="E57" s="22">
        <v>445200</v>
      </c>
      <c r="F57" s="22">
        <v>48624</v>
      </c>
      <c r="G57" s="22">
        <f>E57-F57</f>
        <v>396576</v>
      </c>
      <c r="H57" s="22">
        <f>G57*18%</f>
        <v>71383.679999999993</v>
      </c>
      <c r="I57" s="22">
        <f>G57+H57</f>
        <v>467959.68</v>
      </c>
      <c r="J57" s="22">
        <f>G57*1%</f>
        <v>3965.76</v>
      </c>
      <c r="K57" s="22">
        <f>G57*5%</f>
        <v>19828.800000000003</v>
      </c>
      <c r="L57" s="22"/>
      <c r="M57" s="22"/>
      <c r="N57" s="22"/>
      <c r="O57" s="23">
        <f>H57</f>
        <v>71383.679999999993</v>
      </c>
      <c r="P57" s="22">
        <v>25200</v>
      </c>
      <c r="Q57" s="22">
        <f>I57-J57-K57-O57-P57</f>
        <v>347581.44</v>
      </c>
      <c r="R57" s="42"/>
      <c r="S57" s="22">
        <v>247500</v>
      </c>
      <c r="T57" s="22" t="s">
        <v>44</v>
      </c>
    </row>
    <row r="58" spans="1:20" x14ac:dyDescent="0.25">
      <c r="A58" s="34">
        <v>65956</v>
      </c>
      <c r="B58" s="19" t="s">
        <v>65</v>
      </c>
      <c r="C58" s="20"/>
      <c r="D58" s="25">
        <v>1</v>
      </c>
      <c r="E58" s="22">
        <f>O57</f>
        <v>71383.679999999993</v>
      </c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3">
        <f>E58</f>
        <v>71383.679999999993</v>
      </c>
      <c r="R58" s="18"/>
      <c r="S58" s="22">
        <v>71384</v>
      </c>
      <c r="T58" s="22" t="s">
        <v>56</v>
      </c>
    </row>
    <row r="59" spans="1:20" x14ac:dyDescent="0.25">
      <c r="A59" s="34"/>
      <c r="B59" s="19"/>
      <c r="C59" s="20"/>
      <c r="D59" s="25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18"/>
      <c r="S59" s="22"/>
      <c r="T59" s="22"/>
    </row>
    <row r="60" spans="1:20" x14ac:dyDescent="0.25">
      <c r="A60" s="34"/>
      <c r="B60" s="19"/>
      <c r="C60" s="20"/>
      <c r="D60" s="25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18"/>
      <c r="S60" s="22"/>
      <c r="T60" s="22"/>
    </row>
    <row r="61" spans="1:20" x14ac:dyDescent="0.25">
      <c r="A61" s="34"/>
      <c r="B61" s="19"/>
      <c r="C61" s="20"/>
      <c r="D61" s="25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18"/>
      <c r="S61" s="22"/>
      <c r="T61" s="22"/>
    </row>
    <row r="62" spans="1:20" s="60" customFormat="1" x14ac:dyDescent="0.25">
      <c r="A62" s="26"/>
      <c r="B62" s="27"/>
      <c r="C62" s="27"/>
      <c r="D62" s="28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9">
        <v>66317</v>
      </c>
      <c r="S62" s="27"/>
      <c r="T62" s="63"/>
    </row>
    <row r="63" spans="1:20" ht="66" customHeight="1" x14ac:dyDescent="0.25">
      <c r="A63" s="34">
        <v>66317</v>
      </c>
      <c r="B63" s="19" t="s">
        <v>72</v>
      </c>
      <c r="C63" s="20">
        <v>45566</v>
      </c>
      <c r="D63" s="36">
        <v>2</v>
      </c>
      <c r="E63" s="22">
        <v>222000</v>
      </c>
      <c r="F63" s="22">
        <v>0</v>
      </c>
      <c r="G63" s="22">
        <f>ROUND(E63-F63,0)</f>
        <v>222000</v>
      </c>
      <c r="H63" s="22">
        <f>G63*18%</f>
        <v>39960</v>
      </c>
      <c r="I63" s="22">
        <f>G63+H63</f>
        <v>261960</v>
      </c>
      <c r="J63" s="22">
        <f>G63*$J$6</f>
        <v>2220</v>
      </c>
      <c r="K63" s="22">
        <f>G63*5%</f>
        <v>11100</v>
      </c>
      <c r="L63" s="22"/>
      <c r="M63" s="22"/>
      <c r="N63" s="22">
        <v>0</v>
      </c>
      <c r="O63" s="23">
        <f>H63</f>
        <v>39960</v>
      </c>
      <c r="P63" s="72"/>
      <c r="Q63" s="22">
        <f>ROUND(I63-SUM(J63:O63),0)</f>
        <v>208680</v>
      </c>
      <c r="R63" s="18"/>
      <c r="S63" s="22">
        <v>50000</v>
      </c>
      <c r="T63" s="22" t="s">
        <v>45</v>
      </c>
    </row>
    <row r="64" spans="1:20" ht="33" x14ac:dyDescent="0.25">
      <c r="A64" s="34">
        <v>66317</v>
      </c>
      <c r="B64" s="19" t="s">
        <v>72</v>
      </c>
      <c r="C64" s="20">
        <v>45615</v>
      </c>
      <c r="D64" s="36">
        <v>3</v>
      </c>
      <c r="E64" s="22">
        <v>101850</v>
      </c>
      <c r="F64" s="22">
        <v>0</v>
      </c>
      <c r="G64" s="22">
        <f>ROUND(E64-F64,0)</f>
        <v>101850</v>
      </c>
      <c r="H64" s="22">
        <f>G64*18%</f>
        <v>18333</v>
      </c>
      <c r="I64" s="22">
        <f>G64+H64</f>
        <v>120183</v>
      </c>
      <c r="J64" s="22">
        <f>G64*$J$6</f>
        <v>1018.5</v>
      </c>
      <c r="K64" s="22">
        <f>G64*5%</f>
        <v>5092.5</v>
      </c>
      <c r="L64" s="22"/>
      <c r="M64" s="22"/>
      <c r="N64" s="22">
        <v>0</v>
      </c>
      <c r="O64" s="23">
        <f>H64</f>
        <v>18333</v>
      </c>
      <c r="P64" s="72"/>
      <c r="Q64" s="22">
        <f>ROUND(I64-SUM(J64:O64),0)</f>
        <v>95739</v>
      </c>
      <c r="R64" s="18"/>
      <c r="S64" s="22">
        <v>208680</v>
      </c>
      <c r="T64" s="22" t="s">
        <v>46</v>
      </c>
    </row>
    <row r="65" spans="1:21" x14ac:dyDescent="0.25">
      <c r="A65" s="34">
        <v>66317</v>
      </c>
      <c r="B65" s="19" t="s">
        <v>65</v>
      </c>
      <c r="C65" s="20"/>
      <c r="D65" s="25" t="s">
        <v>47</v>
      </c>
      <c r="E65" s="22">
        <f>O63+O64</f>
        <v>58293</v>
      </c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3">
        <f>E65</f>
        <v>58293</v>
      </c>
      <c r="R65" s="18"/>
      <c r="S65" s="22">
        <v>58293</v>
      </c>
      <c r="T65" s="22" t="s">
        <v>53</v>
      </c>
    </row>
    <row r="66" spans="1:21" x14ac:dyDescent="0.25">
      <c r="A66" s="26"/>
      <c r="B66" s="27"/>
      <c r="C66" s="27"/>
      <c r="D66" s="28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9">
        <f>A67</f>
        <v>66734</v>
      </c>
      <c r="S66" s="27"/>
      <c r="T66" s="63"/>
    </row>
    <row r="67" spans="1:21" ht="33" x14ac:dyDescent="0.25">
      <c r="A67" s="34">
        <v>66734</v>
      </c>
      <c r="B67" s="19" t="s">
        <v>73</v>
      </c>
      <c r="C67" s="20">
        <v>45615</v>
      </c>
      <c r="D67" s="36">
        <v>5</v>
      </c>
      <c r="E67" s="22">
        <v>323850</v>
      </c>
      <c r="F67" s="22">
        <v>0</v>
      </c>
      <c r="G67" s="22">
        <f>ROUND(E67-F67,0)</f>
        <v>323850</v>
      </c>
      <c r="H67" s="22">
        <f>G67*18%</f>
        <v>58293</v>
      </c>
      <c r="I67" s="22">
        <f>G67+H67</f>
        <v>382143</v>
      </c>
      <c r="J67" s="22">
        <f>G67*$J$6</f>
        <v>3238.5</v>
      </c>
      <c r="K67" s="22">
        <f>G67*5%</f>
        <v>16192.5</v>
      </c>
      <c r="L67" s="22"/>
      <c r="M67" s="22"/>
      <c r="N67" s="22">
        <v>0</v>
      </c>
      <c r="O67" s="23">
        <f>H67</f>
        <v>58293</v>
      </c>
      <c r="P67" s="72"/>
      <c r="Q67" s="22">
        <f>ROUND(I67-SUM(J67:O67),0)</f>
        <v>304419</v>
      </c>
      <c r="R67" s="18"/>
      <c r="S67" s="73">
        <v>275000</v>
      </c>
      <c r="T67" s="73" t="s">
        <v>51</v>
      </c>
      <c r="U67" s="3" t="s">
        <v>52</v>
      </c>
    </row>
    <row r="68" spans="1:21" x14ac:dyDescent="0.25">
      <c r="A68" s="34">
        <v>66734</v>
      </c>
      <c r="B68" s="19" t="s">
        <v>65</v>
      </c>
      <c r="C68" s="20"/>
      <c r="D68" s="25">
        <v>5</v>
      </c>
      <c r="E68" s="22">
        <f>O67</f>
        <v>58293</v>
      </c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3">
        <f>E68</f>
        <v>58293</v>
      </c>
      <c r="R68" s="18"/>
      <c r="S68" s="22">
        <v>58293</v>
      </c>
      <c r="T68" s="22" t="s">
        <v>55</v>
      </c>
    </row>
    <row r="69" spans="1:21" x14ac:dyDescent="0.25">
      <c r="A69" s="34"/>
      <c r="B69" s="19"/>
      <c r="C69" s="20"/>
      <c r="D69" s="25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3"/>
      <c r="R69" s="18"/>
    </row>
    <row r="70" spans="1:21" x14ac:dyDescent="0.25">
      <c r="A70" s="26"/>
      <c r="B70" s="27"/>
      <c r="C70" s="27"/>
      <c r="D70" s="28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9">
        <f>A71</f>
        <v>66735</v>
      </c>
      <c r="S70" s="27"/>
      <c r="T70" s="63"/>
    </row>
    <row r="71" spans="1:21" ht="33" x14ac:dyDescent="0.25">
      <c r="A71" s="34">
        <v>66735</v>
      </c>
      <c r="B71" s="19" t="s">
        <v>73</v>
      </c>
      <c r="C71" s="20">
        <v>45615</v>
      </c>
      <c r="D71" s="36">
        <v>4</v>
      </c>
      <c r="E71" s="22">
        <v>323850</v>
      </c>
      <c r="F71" s="22">
        <v>14000</v>
      </c>
      <c r="G71" s="22">
        <f>ROUND(E71-F71,0)</f>
        <v>309850</v>
      </c>
      <c r="H71" s="22">
        <f>G71*18%</f>
        <v>55773</v>
      </c>
      <c r="I71" s="22">
        <f>G71+H71</f>
        <v>365623</v>
      </c>
      <c r="J71" s="22">
        <f>G71*$J$6</f>
        <v>3098.5</v>
      </c>
      <c r="K71" s="22">
        <f>G71*5%</f>
        <v>15492.5</v>
      </c>
      <c r="L71" s="22"/>
      <c r="M71" s="22"/>
      <c r="N71" s="22">
        <v>0</v>
      </c>
      <c r="O71" s="23">
        <f>H71</f>
        <v>55773</v>
      </c>
      <c r="P71" s="72"/>
      <c r="Q71" s="22">
        <f>ROUND(I71-SUM(J71:O71),0)</f>
        <v>291259</v>
      </c>
      <c r="R71" s="18"/>
      <c r="S71" s="22">
        <v>200000</v>
      </c>
      <c r="T71" s="22" t="s">
        <v>50</v>
      </c>
    </row>
    <row r="72" spans="1:21" x14ac:dyDescent="0.25">
      <c r="A72" s="34">
        <v>66735</v>
      </c>
      <c r="B72" s="19" t="s">
        <v>65</v>
      </c>
      <c r="C72" s="20"/>
      <c r="D72" s="25">
        <v>4</v>
      </c>
      <c r="E72" s="22">
        <f>O71</f>
        <v>55773</v>
      </c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3">
        <f>E72</f>
        <v>55773</v>
      </c>
      <c r="R72" s="18"/>
      <c r="S72" s="22">
        <v>55773</v>
      </c>
      <c r="T72" s="22" t="s">
        <v>54</v>
      </c>
    </row>
    <row r="73" spans="1:21" ht="18.75" thickBot="1" x14ac:dyDescent="0.3">
      <c r="A73" s="43"/>
      <c r="B73" s="44"/>
      <c r="C73" s="45"/>
      <c r="D73" s="46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8"/>
      <c r="S73" s="47"/>
      <c r="T73" s="47"/>
    </row>
    <row r="74" spans="1:21" x14ac:dyDescent="0.25">
      <c r="A74" s="49"/>
      <c r="B74" s="50"/>
      <c r="C74" s="50"/>
      <c r="D74" s="51"/>
      <c r="E74" s="50"/>
      <c r="F74" s="50"/>
      <c r="G74" s="50"/>
      <c r="H74" s="50"/>
      <c r="I74" s="50"/>
      <c r="J74" s="65"/>
      <c r="K74" s="52"/>
      <c r="L74" s="52"/>
      <c r="M74" s="52"/>
      <c r="N74" s="52"/>
      <c r="O74" s="52"/>
      <c r="P74" s="52"/>
      <c r="Q74" s="52"/>
      <c r="R74" s="52"/>
      <c r="S74" s="52"/>
      <c r="T74" s="52"/>
    </row>
    <row r="75" spans="1:21" ht="18.75" thickBot="1" x14ac:dyDescent="0.3">
      <c r="A75" s="9"/>
      <c r="B75" s="10"/>
      <c r="C75" s="10"/>
      <c r="D75" s="11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53"/>
      <c r="T75" s="53"/>
    </row>
    <row r="77" spans="1:21" ht="18.75" thickBot="1" x14ac:dyDescent="0.3"/>
    <row r="78" spans="1:21" ht="18.75" thickBot="1" x14ac:dyDescent="0.3">
      <c r="I78" s="82"/>
      <c r="J78" s="83"/>
      <c r="K78" s="83"/>
      <c r="L78" s="83"/>
      <c r="M78" s="84"/>
    </row>
    <row r="79" spans="1:21" ht="18.75" thickBot="1" x14ac:dyDescent="0.3">
      <c r="I79" s="66"/>
      <c r="J79" s="67"/>
      <c r="K79" s="67"/>
      <c r="L79" s="67"/>
      <c r="M79" s="68"/>
    </row>
    <row r="80" spans="1:21" x14ac:dyDescent="0.25">
      <c r="I80" s="92"/>
      <c r="J80" s="93"/>
      <c r="K80" s="94"/>
      <c r="L80" s="85"/>
      <c r="M80" s="86"/>
    </row>
    <row r="81" spans="9:13" x14ac:dyDescent="0.25">
      <c r="I81" s="95"/>
      <c r="J81" s="96"/>
      <c r="K81" s="97"/>
      <c r="L81" s="87"/>
      <c r="M81" s="88"/>
    </row>
    <row r="82" spans="9:13" x14ac:dyDescent="0.25">
      <c r="I82" s="98"/>
      <c r="J82" s="99"/>
      <c r="K82" s="100"/>
      <c r="L82" s="89"/>
      <c r="M82" s="88"/>
    </row>
    <row r="83" spans="9:13" ht="18.75" thickBot="1" x14ac:dyDescent="0.3">
      <c r="I83" s="101"/>
      <c r="J83" s="102"/>
      <c r="K83" s="103"/>
      <c r="L83" s="90"/>
      <c r="M83" s="91"/>
    </row>
  </sheetData>
  <mergeCells count="9">
    <mergeCell ref="I78:M78"/>
    <mergeCell ref="L80:M80"/>
    <mergeCell ref="L81:M81"/>
    <mergeCell ref="L82:M82"/>
    <mergeCell ref="L83:M83"/>
    <mergeCell ref="I80:K80"/>
    <mergeCell ref="I81:K81"/>
    <mergeCell ref="I82:K82"/>
    <mergeCell ref="I83:K8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2025-06-25T10:29:14Z</dcterms:modified>
</cp:coreProperties>
</file>