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Solapur UGD - Pen drive\Sub Contractor Bills\Payment reconciliation\Sub Ctr\"/>
    </mc:Choice>
  </mc:AlternateContent>
  <xr:revisionPtr revIDLastSave="0" documentId="13_ncr:1_{017F280F-293C-4081-901C-9992E89F83B3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Sheet1 (2)" sheetId="2" state="hidden" r:id="rId1"/>
    <sheet name="6711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O18" i="1"/>
  <c r="D18" i="1"/>
  <c r="E24" i="1"/>
  <c r="F16" i="1"/>
  <c r="F14" i="1"/>
  <c r="I14" i="1" s="1"/>
  <c r="N19" i="1" l="1"/>
  <c r="L19" i="1"/>
  <c r="I19" i="1"/>
  <c r="G19" i="1"/>
  <c r="L16" i="1"/>
  <c r="G16" i="1"/>
  <c r="N16" i="1"/>
  <c r="I16" i="1"/>
  <c r="L14" i="1"/>
  <c r="G14" i="1"/>
  <c r="M14" i="1" s="1"/>
  <c r="D17" i="1" s="1"/>
  <c r="O17" i="1" s="1"/>
  <c r="H14" i="1"/>
  <c r="N14" i="1"/>
  <c r="F12" i="1"/>
  <c r="I12" i="1" s="1"/>
  <c r="F11" i="1"/>
  <c r="I11" i="1" s="1"/>
  <c r="F10" i="1"/>
  <c r="I10" i="1" s="1"/>
  <c r="F8" i="1"/>
  <c r="J8" i="1" s="1"/>
  <c r="M19" i="1" l="1"/>
  <c r="H19" i="1"/>
  <c r="O19" i="1" s="1"/>
  <c r="M16" i="1"/>
  <c r="H16" i="1"/>
  <c r="O16" i="1" s="1"/>
  <c r="O14" i="1"/>
  <c r="L12" i="1"/>
  <c r="G12" i="1"/>
  <c r="M12" i="1" s="1"/>
  <c r="D15" i="1" s="1"/>
  <c r="O15" i="1" s="1"/>
  <c r="H12" i="1"/>
  <c r="N12" i="1"/>
  <c r="L11" i="1"/>
  <c r="L24" i="1" s="1"/>
  <c r="N11" i="1"/>
  <c r="G11" i="1"/>
  <c r="M11" i="1" s="1"/>
  <c r="D13" i="1" s="1"/>
  <c r="K10" i="1"/>
  <c r="J10" i="1"/>
  <c r="G10" i="1"/>
  <c r="M10" i="1" s="1"/>
  <c r="I8" i="1"/>
  <c r="G8" i="1"/>
  <c r="M8" i="1" s="1"/>
  <c r="D9" i="1" s="1"/>
  <c r="O9" i="1" s="1"/>
  <c r="K8" i="1"/>
  <c r="N24" i="1" l="1"/>
  <c r="O13" i="1"/>
  <c r="O12" i="1"/>
  <c r="H10" i="1"/>
  <c r="O10" i="1" s="1"/>
  <c r="H11" i="1"/>
  <c r="O11" i="1" s="1"/>
  <c r="H8" i="1"/>
  <c r="O8" i="1" s="1"/>
  <c r="F6" i="1" l="1"/>
  <c r="F24" i="1" s="1"/>
  <c r="I6" i="1" l="1"/>
  <c r="I24" i="1" s="1"/>
  <c r="G6" i="1"/>
  <c r="G24" i="1" s="1"/>
  <c r="H6" i="1"/>
  <c r="H24" i="1" s="1"/>
  <c r="K6" i="1"/>
  <c r="K24" i="1" s="1"/>
  <c r="J6" i="1"/>
  <c r="J24" i="1" s="1"/>
  <c r="Q24" i="1"/>
  <c r="G23" i="2" l="1"/>
  <c r="J23" i="2" s="1"/>
  <c r="R22" i="2"/>
  <c r="U22" i="2" s="1"/>
  <c r="G22" i="2"/>
  <c r="J22" i="2" s="1"/>
  <c r="R21" i="2"/>
  <c r="U21" i="2" s="1"/>
  <c r="G21" i="2"/>
  <c r="J21" i="2" s="1"/>
  <c r="R20" i="2"/>
  <c r="U20" i="2" s="1"/>
  <c r="G20" i="2"/>
  <c r="J20" i="2" s="1"/>
  <c r="R19" i="2"/>
  <c r="U19" i="2" s="1"/>
  <c r="G19" i="2"/>
  <c r="J19" i="2" s="1"/>
  <c r="R18" i="2"/>
  <c r="U18" i="2" s="1"/>
  <c r="G18" i="2"/>
  <c r="J18" i="2" s="1"/>
  <c r="R17" i="2"/>
  <c r="U17" i="2" s="1"/>
  <c r="G17" i="2"/>
  <c r="J17" i="2" s="1"/>
  <c r="R16" i="2"/>
  <c r="U16" i="2" s="1"/>
  <c r="G16" i="2"/>
  <c r="R15" i="2"/>
  <c r="U15" i="2" s="1"/>
  <c r="G15" i="2"/>
  <c r="H15" i="2" s="1"/>
  <c r="I15" i="2" s="1"/>
  <c r="R14" i="2"/>
  <c r="U14" i="2" s="1"/>
  <c r="G14" i="2"/>
  <c r="J14" i="2" s="1"/>
  <c r="R13" i="2"/>
  <c r="U13" i="2" s="1"/>
  <c r="G13" i="2"/>
  <c r="H13" i="2" s="1"/>
  <c r="R12" i="2"/>
  <c r="U12" i="2" s="1"/>
  <c r="G12" i="2"/>
  <c r="J12" i="2" s="1"/>
  <c r="R11" i="2"/>
  <c r="U11" i="2" s="1"/>
  <c r="G11" i="2"/>
  <c r="J11" i="2" s="1"/>
  <c r="R10" i="2"/>
  <c r="U10" i="2" s="1"/>
  <c r="G10" i="2"/>
  <c r="L10" i="2" s="1"/>
  <c r="U9" i="2"/>
  <c r="G9" i="2"/>
  <c r="L9" i="2" s="1"/>
  <c r="R8" i="2"/>
  <c r="U8" i="2" s="1"/>
  <c r="E8" i="2"/>
  <c r="G8" i="2" s="1"/>
  <c r="I8" i="2" s="1"/>
  <c r="R7" i="2"/>
  <c r="U7" i="2" s="1"/>
  <c r="G7" i="2"/>
  <c r="I7" i="2" s="1"/>
  <c r="R6" i="2"/>
  <c r="U6" i="2" s="1"/>
  <c r="M6" i="2"/>
  <c r="F6" i="2"/>
  <c r="E6" i="2"/>
  <c r="H10" i="2" l="1"/>
  <c r="I10" i="2" s="1"/>
  <c r="H17" i="2"/>
  <c r="I17" i="2" s="1"/>
  <c r="N17" i="2" s="1"/>
  <c r="H9" i="2"/>
  <c r="I9" i="2" s="1"/>
  <c r="H11" i="2"/>
  <c r="M11" i="2" s="1"/>
  <c r="H14" i="2"/>
  <c r="I14" i="2" s="1"/>
  <c r="N14" i="2" s="1"/>
  <c r="H23" i="2"/>
  <c r="J10" i="2"/>
  <c r="J13" i="2"/>
  <c r="N13" i="2" s="1"/>
  <c r="K7" i="2"/>
  <c r="M13" i="2"/>
  <c r="I13" i="2"/>
  <c r="I11" i="2"/>
  <c r="N11" i="2" s="1"/>
  <c r="H12" i="2"/>
  <c r="M12" i="2" s="1"/>
  <c r="J15" i="2"/>
  <c r="N15" i="2" s="1"/>
  <c r="L7" i="2"/>
  <c r="G6" i="2"/>
  <c r="I6" i="2" s="1"/>
  <c r="H18" i="2"/>
  <c r="I18" i="2" s="1"/>
  <c r="N18" i="2" s="1"/>
  <c r="H21" i="2"/>
  <c r="I21" i="2" s="1"/>
  <c r="H22" i="2"/>
  <c r="I22" i="2" s="1"/>
  <c r="K8" i="2"/>
  <c r="I23" i="2"/>
  <c r="L8" i="2"/>
  <c r="N21" i="2"/>
  <c r="U27" i="2"/>
  <c r="J16" i="2"/>
  <c r="H20" i="2"/>
  <c r="I20" i="2" s="1"/>
  <c r="N20" i="2" s="1"/>
  <c r="J9" i="2"/>
  <c r="H19" i="2"/>
  <c r="I19" i="2" s="1"/>
  <c r="N19" i="2" s="1"/>
  <c r="H16" i="2"/>
  <c r="I16" i="2" s="1"/>
  <c r="N8" i="2" l="1"/>
  <c r="J6" i="2"/>
  <c r="I12" i="2"/>
  <c r="N12" i="2" s="1"/>
  <c r="N10" i="2"/>
  <c r="N16" i="2"/>
  <c r="N7" i="2"/>
  <c r="L6" i="2"/>
  <c r="K6" i="2"/>
  <c r="N6" i="2" s="1"/>
  <c r="N27" i="2" s="1"/>
  <c r="U29" i="2" s="1"/>
  <c r="N9" i="2"/>
  <c r="M6" i="1" l="1"/>
  <c r="O6" i="1" l="1"/>
  <c r="M24" i="1"/>
  <c r="D7" i="1"/>
  <c r="O7" i="1" l="1"/>
  <c r="D24" i="1"/>
  <c r="O24" i="1"/>
  <c r="Q25" i="1" s="1"/>
</calcChain>
</file>

<file path=xl/sharedStrings.xml><?xml version="1.0" encoding="utf-8"?>
<sst xmlns="http://schemas.openxmlformats.org/spreadsheetml/2006/main" count="94" uniqueCount="72">
  <si>
    <t>Invoice Reconcilation</t>
  </si>
  <si>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</si>
  <si>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</si>
  <si>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</si>
  <si>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</si>
  <si>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</si>
  <si>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</si>
  <si>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</si>
  <si>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</si>
  <si>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PAYMENT NOTE No.</t>
  </si>
  <si>
    <t>Total Amount Paid</t>
  </si>
  <si>
    <t>UTR</t>
  </si>
  <si>
    <t>SD (5%)</t>
  </si>
  <si>
    <t>Advance paid</t>
  </si>
  <si>
    <t>TDS Amount @ 1% on BASIC AMOUNT</t>
  </si>
  <si>
    <t>CHHINDWARA MP</t>
  </si>
  <si>
    <t>RA Bill No. 01</t>
  </si>
  <si>
    <t>RA Bill No. 02</t>
  </si>
  <si>
    <t>Debit</t>
  </si>
  <si>
    <t>Basic Amt after Debit</t>
  </si>
  <si>
    <t>HSC work</t>
  </si>
  <si>
    <t xml:space="preserve">Ansari Construction </t>
  </si>
  <si>
    <t>Total Payable Amount Rs. -</t>
  </si>
  <si>
    <t>Balance Payable Amount Rs. -</t>
  </si>
  <si>
    <t>Total Paid Amount Rs. -</t>
  </si>
  <si>
    <t>15-09-2022 NEFT/AXISP00320392074/RIMP2602/MOHD CHAN 19,800.00</t>
  </si>
  <si>
    <t>TDS (1%)</t>
  </si>
  <si>
    <t>RIMP2602</t>
  </si>
  <si>
    <t>21-09-2022 NEFT/AXISP00350394056/RIMP2698/MOHD CHAN 4,950.00</t>
  </si>
  <si>
    <t>RIMP2698</t>
  </si>
  <si>
    <t>28-09-2022 NEFT/AXISP00323052226/RIMP2758/MOHD CHAND JUNED A 24750.00</t>
  </si>
  <si>
    <t>RIMP2758</t>
  </si>
  <si>
    <t>04-10-2022 NEFT/AXISP00325520210/RIMP2831/MOHDCHAND JUNED A 150000.00</t>
  </si>
  <si>
    <t>RIMP2831</t>
  </si>
  <si>
    <t>11-10-2022 NEFT/AXISP00327623912/RIMP22/2954/MOHD CHAND JUNE 247500.00</t>
  </si>
  <si>
    <t>RIMP22/2954</t>
  </si>
  <si>
    <t>17-10-2022 NEFT/AXISP00329130841/RIMP22/3068/MOHD CHAND JUNE 79200.00</t>
  </si>
  <si>
    <t>RIMP22/3068</t>
  </si>
  <si>
    <t>Hydraulic Testing</t>
  </si>
  <si>
    <t>20-10-2022 NEFT/AXISP00330179789/RIMP22/3125/MOHD CHAND JUNE 198000.00</t>
  </si>
  <si>
    <t>RIMP22/3125</t>
  </si>
  <si>
    <t>RA Bill No. 03</t>
  </si>
  <si>
    <t>Total Paid</t>
  </si>
  <si>
    <t>Balance Payable</t>
  </si>
  <si>
    <t>SD</t>
  </si>
  <si>
    <t xml:space="preserve">GST </t>
  </si>
  <si>
    <t>HT</t>
  </si>
  <si>
    <t>GST SD</t>
  </si>
  <si>
    <t>Solapur UGD</t>
  </si>
  <si>
    <t>TDS</t>
  </si>
  <si>
    <t>Pipeline</t>
  </si>
  <si>
    <t>Advance deducted</t>
  </si>
  <si>
    <t>SK Construction - Pipeline</t>
  </si>
  <si>
    <t>18-02-2025NEFT/AXISP00618257367/SSMH24/2423/S KCONSTRUCTION/SBIN0017530 495000.00</t>
  </si>
  <si>
    <t>GST</t>
  </si>
  <si>
    <t>13-03-2025NEFT/AXISP00633086699/SSMH24/2671/S KCONSTRUCTION/SBIN0017530 178312.00</t>
  </si>
  <si>
    <t>24-03-2025NEFT/AXISP00637389506/SSMH24/2914/S K CONSTRUCTION/SBIN0017530 136175.00</t>
  </si>
  <si>
    <t>16-04-2025NEFT/AXISP00651599302/SSMH25/53/S KCONSTRUCTION/SBIN0017530 975804.00</t>
  </si>
  <si>
    <t>29-05-2025NEFT/AXISP00671284014/SSMH25/848/S K CONSTRUCTION/SBIN0017530 197354.00</t>
  </si>
  <si>
    <t xml:space="preserve">16-09-2025 NEFT/AXISP00716025636/SNSMH25/1277/S K CONSTRUCTION/SBIN0017530 111317.00 </t>
  </si>
  <si>
    <t>Extra Hold</t>
  </si>
  <si>
    <t xml:space="preserve">31-10-2025 NEFT/AXISP00735672881/SNSMH25/1810/S K CONSTRUCTION/SBIN0017530 2103301.00 </t>
  </si>
  <si>
    <t>SD ( for RR)</t>
  </si>
  <si>
    <t>RR</t>
  </si>
  <si>
    <t xml:space="preserve">  16-12-2025 NEFT/AXISP00751241446/SNSMH25/2303/S K CONSTRUCTION/SBIN0017530 2662851.00</t>
  </si>
  <si>
    <t>20-12-2025 NEFT/AXISP00752366218/SNSMH25/2446/S K CONSTRUCTION/SBIN0017530 491681.00</t>
  </si>
  <si>
    <t>02-01-2026NEFT/AXISP00756246991/SNSMH25/2549/S KCONSTRUCTION/SBIN0017530 2000000.00</t>
  </si>
  <si>
    <t xml:space="preserve">09-01-2026 NEFT/AXISP00759220650/SNSMH25/2549B/S K CONSTRUCTION/SBIN0017530 2232496.00 </t>
  </si>
  <si>
    <t xml:space="preserve">29-01-2026 NEFT/AXISP00763644150/SNSMH25/2895/S K CONSTRUCTION/SBIN0017530 622486.00 </t>
  </si>
  <si>
    <t xml:space="preserve">24-02-2026 NEFT/AXISP00771920100/SNSMH25/3319/S K CONSTRUCTION/SBIN0017530 989416.00 </t>
  </si>
  <si>
    <t xml:space="preserve"> 27-02-2026 NEFT/AXISP00773143303/SNSMH25/3316A/S K CONSTRUCTION/SBIN0017530 2993759.00</t>
  </si>
  <si>
    <t xml:space="preserve">25/03/2026 NEFT/AXISP00781410614/SNSMH25/37 16/S K CONSTRUCTION/SBIN0017530 6,99,841.00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</si>
</sst>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9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b/>
      <sz val="11"/>
      <name val="Calibri"/>
      <family val="2"/>
      <scheme val="minor"/>
    </font>
    <font>
      <b/>
      <sz val="11"/>
      <name val="Comic Sans MS"/>
      <family val="4"/>
    </font>
    <font>
      <b/>
      <sz val="14"/>
      <name val="Comic Sans MS"/>
      <family val="4"/>
    </font>
    <font>
      <sz val="11"/>
      <color rgb="FFFF0000"/>
      <name val="Comic Sans MS"/>
      <family val="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4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15">
    <xf numFmtId="0" fontId="0" fillId="0" borderId="0" xfId="0"/>
    <xf numFmtId="0" fontId="5" fillId="2" borderId="3" xfId="0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15" fontId="3" fillId="2" borderId="20" xfId="0" applyNumberFormat="1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wrapText="1"/>
    </xf>
    <xf numFmtId="43" fontId="5" fillId="2" borderId="34" xfId="1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20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9" fontId="3" fillId="2" borderId="12" xfId="1" applyNumberFormat="1" applyFont="1" applyFill="1" applyBorder="1" applyAlignment="1">
      <alignment vertical="center"/>
    </xf>
    <xf numFmtId="9" fontId="3" fillId="2" borderId="31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9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24" xfId="0" applyBorder="1" applyAlignment="1">
      <alignment vertical="center"/>
    </xf>
    <xf numFmtId="43" fontId="3" fillId="2" borderId="27" xfId="1" applyNumberFormat="1" applyFont="1" applyFill="1" applyBorder="1" applyAlignment="1">
      <alignment horizontal="right"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35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3" fillId="2" borderId="22" xfId="1" applyNumberFormat="1" applyFont="1" applyFill="1" applyBorder="1" applyAlignment="1">
      <alignment vertical="center"/>
    </xf>
    <xf numFmtId="0" fontId="0" fillId="0" borderId="23" xfId="0" applyBorder="1" applyAlignment="1">
      <alignment vertical="center" wrapText="1"/>
    </xf>
    <xf numFmtId="0" fontId="0" fillId="0" borderId="24" xfId="0" applyBorder="1" applyAlignment="1">
      <alignment vertical="center" wrapText="1"/>
    </xf>
    <xf numFmtId="43" fontId="3" fillId="2" borderId="32" xfId="1" applyNumberFormat="1" applyFont="1" applyFill="1" applyBorder="1" applyAlignment="1">
      <alignment vertical="center" wrapText="1"/>
    </xf>
    <xf numFmtId="43" fontId="3" fillId="2" borderId="36" xfId="1" applyNumberFormat="1" applyFont="1" applyFill="1" applyBorder="1" applyAlignment="1">
      <alignment vertical="center"/>
    </xf>
    <xf numFmtId="43" fontId="3" fillId="2" borderId="37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5" fillId="2" borderId="7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0" borderId="0" xfId="0" applyFont="1" applyAlignment="1">
      <alignment vertical="center"/>
    </xf>
    <xf numFmtId="43" fontId="9" fillId="0" borderId="0" xfId="1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43" fontId="9" fillId="0" borderId="21" xfId="1" applyNumberFormat="1" applyFont="1" applyFill="1" applyBorder="1" applyAlignment="1">
      <alignment vertical="center"/>
    </xf>
    <xf numFmtId="9" fontId="9" fillId="0" borderId="21" xfId="1" applyNumberFormat="1" applyFont="1" applyFill="1" applyBorder="1" applyAlignment="1">
      <alignment vertical="center"/>
    </xf>
    <xf numFmtId="43" fontId="9" fillId="0" borderId="12" xfId="1" applyNumberFormat="1" applyFont="1" applyFill="1" applyBorder="1" applyAlignment="1">
      <alignment vertical="center"/>
    </xf>
    <xf numFmtId="43" fontId="0" fillId="0" borderId="0" xfId="1" applyNumberFormat="1" applyFont="1" applyFill="1" applyAlignment="1">
      <alignment vertical="center"/>
    </xf>
    <xf numFmtId="43" fontId="0" fillId="0" borderId="0" xfId="0" applyNumberFormat="1" applyAlignment="1">
      <alignment vertical="center"/>
    </xf>
    <xf numFmtId="0" fontId="12" fillId="0" borderId="0" xfId="0" applyFont="1" applyAlignment="1">
      <alignment vertical="center"/>
    </xf>
    <xf numFmtId="43" fontId="12" fillId="0" borderId="0" xfId="1" applyNumberFormat="1" applyFont="1" applyFill="1" applyBorder="1" applyAlignment="1">
      <alignment vertical="center"/>
    </xf>
    <xf numFmtId="43" fontId="13" fillId="0" borderId="0" xfId="1" applyNumberFormat="1" applyFont="1" applyFill="1" applyBorder="1" applyAlignment="1">
      <alignment vertical="center"/>
    </xf>
    <xf numFmtId="43" fontId="13" fillId="0" borderId="0" xfId="1" applyNumberFormat="1" applyFont="1" applyFill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11" fillId="0" borderId="38" xfId="0" applyFont="1" applyBorder="1" applyAlignment="1">
      <alignment horizontal="center" vertical="center"/>
    </xf>
    <xf numFmtId="0" fontId="11" fillId="0" borderId="38" xfId="0" applyFont="1" applyBorder="1" applyAlignment="1">
      <alignment horizontal="center" vertical="center" wrapText="1"/>
    </xf>
    <xf numFmtId="43" fontId="11" fillId="0" borderId="38" xfId="1" applyNumberFormat="1" applyFont="1" applyFill="1" applyBorder="1" applyAlignment="1">
      <alignment horizontal="center" vertical="center"/>
    </xf>
    <xf numFmtId="43" fontId="9" fillId="0" borderId="20" xfId="1" applyNumberFormat="1" applyFont="1" applyFill="1" applyBorder="1" applyAlignment="1">
      <alignment vertical="center"/>
    </xf>
    <xf numFmtId="0" fontId="11" fillId="0" borderId="20" xfId="0" applyFont="1" applyBorder="1" applyAlignment="1">
      <alignment horizontal="center" vertical="center" wrapText="1"/>
    </xf>
    <xf numFmtId="164" fontId="9" fillId="0" borderId="20" xfId="1" applyFont="1" applyFill="1" applyBorder="1" applyAlignment="1">
      <alignment vertical="center"/>
    </xf>
    <xf numFmtId="43" fontId="11" fillId="0" borderId="21" xfId="1" applyNumberFormat="1" applyFont="1" applyFill="1" applyBorder="1" applyAlignment="1">
      <alignment vertical="center"/>
    </xf>
    <xf numFmtId="0" fontId="11" fillId="0" borderId="12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43" fontId="9" fillId="0" borderId="22" xfId="1" applyNumberFormat="1" applyFont="1" applyFill="1" applyBorder="1" applyAlignment="1">
      <alignment vertical="center"/>
    </xf>
    <xf numFmtId="43" fontId="9" fillId="0" borderId="38" xfId="1" applyNumberFormat="1" applyFont="1" applyFill="1" applyBorder="1" applyAlignment="1">
      <alignment vertical="center"/>
    </xf>
    <xf numFmtId="43" fontId="11" fillId="0" borderId="38" xfId="1" applyNumberFormat="1" applyFont="1" applyFill="1" applyBorder="1" applyAlignment="1">
      <alignment vertical="center"/>
    </xf>
    <xf numFmtId="164" fontId="9" fillId="0" borderId="22" xfId="1" applyFont="1" applyFill="1" applyBorder="1" applyAlignment="1">
      <alignment vertical="center"/>
    </xf>
    <xf numFmtId="0" fontId="11" fillId="0" borderId="22" xfId="0" applyFont="1" applyBorder="1" applyAlignment="1">
      <alignment horizontal="center" vertical="center" wrapText="1"/>
    </xf>
    <xf numFmtId="14" fontId="9" fillId="0" borderId="20" xfId="1" applyNumberFormat="1" applyFont="1" applyFill="1" applyBorder="1" applyAlignment="1">
      <alignment vertical="center"/>
    </xf>
    <xf numFmtId="0" fontId="0" fillId="0" borderId="12" xfId="0" applyBorder="1" applyAlignment="1">
      <alignment vertical="center" wrapText="1"/>
    </xf>
    <xf numFmtId="164" fontId="12" fillId="0" borderId="0" xfId="1" applyFont="1" applyFill="1" applyBorder="1" applyAlignment="1">
      <alignment vertical="center"/>
    </xf>
    <xf numFmtId="164" fontId="13" fillId="0" borderId="0" xfId="1" applyFont="1" applyFill="1" applyBorder="1" applyAlignment="1">
      <alignment vertical="center"/>
    </xf>
    <xf numFmtId="164" fontId="9" fillId="0" borderId="0" xfId="1" applyFont="1" applyFill="1" applyBorder="1" applyAlignment="1">
      <alignment vertical="center"/>
    </xf>
    <xf numFmtId="164" fontId="11" fillId="0" borderId="38" xfId="1" applyFont="1" applyFill="1" applyBorder="1" applyAlignment="1">
      <alignment horizontal="center" vertical="center"/>
    </xf>
    <xf numFmtId="164" fontId="9" fillId="0" borderId="21" xfId="1" applyFont="1" applyFill="1" applyBorder="1" applyAlignment="1">
      <alignment vertical="center"/>
    </xf>
    <xf numFmtId="164" fontId="9" fillId="0" borderId="12" xfId="1" applyFont="1" applyFill="1" applyBorder="1" applyAlignment="1">
      <alignment horizontal="center" vertical="center"/>
    </xf>
    <xf numFmtId="164" fontId="9" fillId="0" borderId="38" xfId="1" applyFont="1" applyFill="1" applyBorder="1" applyAlignment="1">
      <alignment vertical="center"/>
    </xf>
    <xf numFmtId="164" fontId="0" fillId="0" borderId="0" xfId="1" applyFont="1" applyFill="1" applyAlignment="1">
      <alignment vertical="center"/>
    </xf>
    <xf numFmtId="43" fontId="14" fillId="0" borderId="0" xfId="1" applyNumberFormat="1" applyFont="1" applyFill="1" applyBorder="1" applyAlignment="1">
      <alignment vertical="center"/>
    </xf>
    <xf numFmtId="14" fontId="9" fillId="0" borderId="22" xfId="1" applyNumberFormat="1" applyFont="1" applyFill="1" applyBorder="1" applyAlignment="1">
      <alignment vertical="center"/>
    </xf>
    <xf numFmtId="43" fontId="15" fillId="3" borderId="12" xfId="1" applyNumberFormat="1" applyFont="1" applyFill="1" applyBorder="1" applyAlignment="1">
      <alignment vertical="center"/>
    </xf>
    <xf numFmtId="43" fontId="15" fillId="3" borderId="20" xfId="1" applyNumberFormat="1" applyFont="1" applyFill="1" applyBorder="1" applyAlignment="1">
      <alignment vertical="center"/>
    </xf>
    <xf numFmtId="43" fontId="15" fillId="3" borderId="22" xfId="1" applyNumberFormat="1" applyFont="1" applyFill="1" applyBorder="1" applyAlignment="1">
      <alignment vertical="center"/>
    </xf>
    <xf numFmtId="43" fontId="9" fillId="0" borderId="39" xfId="1" applyNumberFormat="1" applyFont="1" applyFill="1" applyBorder="1" applyAlignment="1">
      <alignment vertical="center"/>
    </xf>
    <xf numFmtId="43" fontId="15" fillId="0" borderId="22" xfId="1" applyNumberFormat="1" applyFont="1" applyFill="1" applyBorder="1" applyAlignment="1">
      <alignment vertical="center"/>
    </xf>
    <xf numFmtId="43" fontId="15" fillId="0" borderId="38" xfId="1" applyNumberFormat="1" applyFont="1" applyFill="1" applyBorder="1" applyAlignment="1">
      <alignment vertical="center"/>
    </xf>
    <xf numFmtId="43" fontId="9" fillId="0" borderId="12" xfId="1" applyNumberFormat="1" applyFont="1" applyFill="1" applyBorder="1" applyAlignment="1">
      <alignment horizontal="left" vertical="center"/>
    </xf>
    <xf numFmtId="0" fontId="0" fillId="0" borderId="39" xfId="0" applyBorder="1" applyAlignment="1">
      <alignment vertical="center" wrapText="1"/>
    </xf>
    <xf numFmtId="0" fontId="0" fillId="0" borderId="20" xfId="0" applyBorder="1" applyAlignment="1">
      <alignment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7"/>
  <sheetViews>
    <sheetView topLeftCell="B1" zoomScale="70" zoomScaleNormal="70" workbookViewId="0">
      <selection activeCell="J35" sqref="J35"/>
    </sheetView>
  </sheetViews>
  <sheetFormatPr defaultColWidth="9" defaultRowHeight="15" x14ac:dyDescent="0.25"/>
  <cols>
    <col min="1" max="1" width="9" style="16"/>
    <col min="2" max="2" width="30" style="16" customWidth="1"/>
    <col min="3" max="3" width="13.42578125" style="16" bestFit="1" customWidth="1"/>
    <col min="4" max="4" width="15.28515625" style="16" customWidth="1"/>
    <col min="5" max="5" width="13.28515625" style="16" bestFit="1" customWidth="1"/>
    <col min="6" max="7" width="13.28515625" style="16" customWidth="1"/>
    <col min="8" max="8" width="14.7109375" style="56" customWidth="1"/>
    <col min="9" max="9" width="12.85546875" style="56" bestFit="1" customWidth="1"/>
    <col min="10" max="10" width="10.7109375" style="16" bestFit="1" customWidth="1"/>
    <col min="11" max="11" width="10.42578125" style="16" bestFit="1" customWidth="1"/>
    <col min="12" max="12" width="10.42578125" style="16" customWidth="1"/>
    <col min="13" max="14" width="14.85546875" style="16" customWidth="1"/>
    <col min="15" max="15" width="7.28515625" style="16" customWidth="1"/>
    <col min="16" max="16" width="21.7109375" style="16" bestFit="1" customWidth="1"/>
    <col min="17" max="17" width="12.7109375" style="16" bestFit="1" customWidth="1"/>
    <col min="18" max="18" width="14.5703125" style="16" bestFit="1" customWidth="1"/>
    <col min="19" max="20" width="14.5703125" style="16" customWidth="1"/>
    <col min="21" max="21" width="14" style="16" customWidth="1"/>
    <col min="22" max="22" width="72.42578125" style="16" bestFit="1" customWidth="1"/>
    <col min="23" max="16384" width="9" style="16"/>
  </cols>
  <sheetData>
    <row r="1" spans="2:22" ht="15.75" thickBot="1" x14ac:dyDescent="0.3">
      <c r="B1" s="15" t="s">
        <v>15</v>
      </c>
      <c r="E1" s="17"/>
      <c r="F1" s="17"/>
      <c r="G1" s="17"/>
      <c r="H1" s="18"/>
      <c r="I1" s="18"/>
    </row>
    <row r="2" spans="2:22" ht="21.75" thickBot="1" x14ac:dyDescent="0.3">
      <c r="B2" s="19" t="s">
        <v>0</v>
      </c>
      <c r="C2" s="20"/>
      <c r="D2" s="20" t="s">
        <v>21</v>
      </c>
      <c r="H2" s="21"/>
      <c r="I2" s="21" t="s">
        <v>20</v>
      </c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</row>
    <row r="3" spans="2:22" ht="15.75" thickBot="1" x14ac:dyDescent="0.3">
      <c r="B3" s="23"/>
      <c r="C3" s="23"/>
      <c r="D3" s="23"/>
      <c r="E3" s="23"/>
      <c r="F3" s="22"/>
      <c r="G3" s="22"/>
      <c r="H3" s="24"/>
      <c r="I3" s="24"/>
      <c r="J3" s="22"/>
      <c r="K3" s="22"/>
      <c r="L3" s="22"/>
      <c r="P3" s="22"/>
      <c r="Q3" s="25"/>
      <c r="R3" s="25"/>
      <c r="S3" s="25"/>
      <c r="T3" s="25"/>
      <c r="U3" s="25"/>
      <c r="V3" s="25"/>
    </row>
    <row r="4" spans="2:22" ht="43.9" customHeight="1" thickBot="1" x14ac:dyDescent="0.3">
      <c r="B4" s="1" t="s">
        <v>1</v>
      </c>
      <c r="C4" s="8" t="s">
        <v>2</v>
      </c>
      <c r="D4" s="8" t="s">
        <v>3</v>
      </c>
      <c r="E4" s="11" t="s">
        <v>4</v>
      </c>
      <c r="F4" s="4" t="s">
        <v>18</v>
      </c>
      <c r="G4" s="64" t="s">
        <v>19</v>
      </c>
      <c r="H4" s="2" t="s">
        <v>5</v>
      </c>
      <c r="I4" s="14" t="s">
        <v>6</v>
      </c>
      <c r="J4" s="4" t="s">
        <v>26</v>
      </c>
      <c r="K4" s="13" t="s">
        <v>12</v>
      </c>
      <c r="L4" s="13" t="s">
        <v>38</v>
      </c>
      <c r="M4" s="13" t="s">
        <v>7</v>
      </c>
      <c r="N4" s="13" t="s">
        <v>8</v>
      </c>
      <c r="O4" s="5"/>
      <c r="P4" s="4" t="s">
        <v>9</v>
      </c>
      <c r="Q4" s="4" t="s">
        <v>6</v>
      </c>
      <c r="R4" s="4" t="s">
        <v>14</v>
      </c>
      <c r="S4" s="3" t="s">
        <v>12</v>
      </c>
      <c r="T4" s="4" t="s">
        <v>13</v>
      </c>
      <c r="U4" s="4" t="s">
        <v>10</v>
      </c>
      <c r="V4" s="13" t="s">
        <v>11</v>
      </c>
    </row>
    <row r="5" spans="2:22" x14ac:dyDescent="0.25">
      <c r="B5" s="26"/>
      <c r="C5" s="27"/>
      <c r="D5" s="27"/>
      <c r="E5" s="28"/>
      <c r="F5" s="62"/>
      <c r="G5" s="62"/>
      <c r="H5" s="29"/>
      <c r="I5" s="30"/>
      <c r="J5" s="31">
        <v>0.01</v>
      </c>
      <c r="K5" s="32">
        <v>0.05</v>
      </c>
      <c r="L5" s="32">
        <v>0.1</v>
      </c>
      <c r="M5" s="33"/>
      <c r="N5" s="33"/>
      <c r="O5" s="5"/>
      <c r="P5" s="34"/>
      <c r="Q5" s="29"/>
      <c r="R5" s="35">
        <v>0.01</v>
      </c>
      <c r="S5" s="36">
        <v>0.05</v>
      </c>
      <c r="T5" s="30"/>
      <c r="U5" s="37"/>
      <c r="V5" s="33"/>
    </row>
    <row r="6" spans="2:22" ht="23.45" customHeight="1" x14ac:dyDescent="0.25">
      <c r="B6" s="7" t="s">
        <v>20</v>
      </c>
      <c r="C6" s="9">
        <v>44752</v>
      </c>
      <c r="D6" s="9" t="s">
        <v>16</v>
      </c>
      <c r="E6" s="38">
        <f>(204*900)+(319.3*55)+(2216.1*55)+(229.4*80)+(28*3300)+(15.03*5750)</f>
        <v>520221.5</v>
      </c>
      <c r="F6" s="63">
        <f>ROUND((50*362)+(30*95.77)+(8*312),)</f>
        <v>23469</v>
      </c>
      <c r="G6" s="63">
        <f>ROUND(E6-F6,)</f>
        <v>496753</v>
      </c>
      <c r="H6" s="29">
        <v>0</v>
      </c>
      <c r="I6" s="30">
        <f>G6+H6</f>
        <v>496753</v>
      </c>
      <c r="J6" s="39">
        <f>ROUND($J$5*G6,)</f>
        <v>4968</v>
      </c>
      <c r="K6" s="33">
        <f>ROUND(G6*$K$5,)</f>
        <v>24838</v>
      </c>
      <c r="L6" s="33">
        <f>ROUND(G6*$L$5,)</f>
        <v>49675</v>
      </c>
      <c r="M6" s="33">
        <f>H6</f>
        <v>0</v>
      </c>
      <c r="N6" s="33">
        <f>ROUND(I6-SUM(J6:M6),0)</f>
        <v>417272</v>
      </c>
      <c r="O6" s="5"/>
      <c r="P6" s="40" t="s">
        <v>27</v>
      </c>
      <c r="Q6" s="38">
        <v>20000</v>
      </c>
      <c r="R6" s="29">
        <f>Q6*$R$5</f>
        <v>200</v>
      </c>
      <c r="S6" s="30">
        <v>0</v>
      </c>
      <c r="T6" s="30">
        <v>0</v>
      </c>
      <c r="U6" s="37">
        <f>ROUND(Q6-R6-S6-T6,0)</f>
        <v>19800</v>
      </c>
      <c r="V6" s="41" t="s">
        <v>25</v>
      </c>
    </row>
    <row r="7" spans="2:22" ht="35.450000000000003" customHeight="1" x14ac:dyDescent="0.25">
      <c r="B7" s="7" t="s">
        <v>20</v>
      </c>
      <c r="C7" s="9">
        <v>44849</v>
      </c>
      <c r="D7" s="9" t="s">
        <v>17</v>
      </c>
      <c r="E7" s="38">
        <v>197840</v>
      </c>
      <c r="F7" s="63">
        <v>0</v>
      </c>
      <c r="G7" s="63">
        <f t="shared" ref="G7:G23" si="0">E7-F7</f>
        <v>197840</v>
      </c>
      <c r="H7" s="29">
        <v>0</v>
      </c>
      <c r="I7" s="30">
        <f t="shared" ref="I7:I23" si="1">G7+H7</f>
        <v>197840</v>
      </c>
      <c r="J7" s="39">
        <v>0</v>
      </c>
      <c r="K7" s="33">
        <f>ROUND(G7*$K$5,)</f>
        <v>9892</v>
      </c>
      <c r="L7" s="33">
        <f>ROUND(G7*$L$5,)</f>
        <v>19784</v>
      </c>
      <c r="M7" s="33">
        <v>0</v>
      </c>
      <c r="N7" s="33">
        <f>ROUND(I7-SUM(J7:M7),0)</f>
        <v>168164</v>
      </c>
      <c r="O7" s="5"/>
      <c r="P7" s="40" t="s">
        <v>29</v>
      </c>
      <c r="Q7" s="38">
        <v>5000</v>
      </c>
      <c r="R7" s="29">
        <f>Q7*$R$5</f>
        <v>50</v>
      </c>
      <c r="S7" s="30">
        <v>0</v>
      </c>
      <c r="T7" s="30">
        <v>0</v>
      </c>
      <c r="U7" s="37">
        <f>ROUND(Q7-R7-S7-T7,0)</f>
        <v>4950</v>
      </c>
      <c r="V7" s="41" t="s">
        <v>28</v>
      </c>
    </row>
    <row r="8" spans="2:22" ht="23.45" customHeight="1" x14ac:dyDescent="0.25">
      <c r="B8" s="7" t="s">
        <v>20</v>
      </c>
      <c r="C8" s="9">
        <v>44880</v>
      </c>
      <c r="D8" s="9" t="s">
        <v>41</v>
      </c>
      <c r="E8" s="38">
        <f>(49*900)+(1176*55)+(353*55)</f>
        <v>128195</v>
      </c>
      <c r="F8" s="63">
        <v>0</v>
      </c>
      <c r="G8" s="63">
        <f t="shared" si="0"/>
        <v>128195</v>
      </c>
      <c r="H8" s="29">
        <v>0</v>
      </c>
      <c r="I8" s="30">
        <f t="shared" si="1"/>
        <v>128195</v>
      </c>
      <c r="J8" s="39">
        <v>760</v>
      </c>
      <c r="K8" s="33">
        <f>ROUND(G8*$K$5,)</f>
        <v>6410</v>
      </c>
      <c r="L8" s="33">
        <f>ROUND(G8*$L$5,)</f>
        <v>12820</v>
      </c>
      <c r="M8" s="33">
        <v>0</v>
      </c>
      <c r="N8" s="33">
        <f>ROUND(I8-SUM(J8:M8),0)</f>
        <v>108205</v>
      </c>
      <c r="O8" s="5"/>
      <c r="P8" s="40" t="s">
        <v>31</v>
      </c>
      <c r="Q8" s="38">
        <v>25000</v>
      </c>
      <c r="R8" s="29">
        <f>Q8*$R$5</f>
        <v>250</v>
      </c>
      <c r="S8" s="30">
        <v>0</v>
      </c>
      <c r="T8" s="30">
        <v>0</v>
      </c>
      <c r="U8" s="37">
        <f>ROUND(Q8-R8-S8-T8,0)</f>
        <v>24750</v>
      </c>
      <c r="V8" s="41" t="s">
        <v>30</v>
      </c>
    </row>
    <row r="9" spans="2:22" ht="23.45" customHeight="1" x14ac:dyDescent="0.25">
      <c r="B9" s="7"/>
      <c r="C9" s="9"/>
      <c r="D9" s="58"/>
      <c r="E9" s="38"/>
      <c r="F9" s="63">
        <v>0</v>
      </c>
      <c r="G9" s="63">
        <f t="shared" si="0"/>
        <v>0</v>
      </c>
      <c r="H9" s="29">
        <f t="shared" ref="H9:H23" si="2">ROUND(G9*18%,0)</f>
        <v>0</v>
      </c>
      <c r="I9" s="30">
        <f t="shared" si="1"/>
        <v>0</v>
      </c>
      <c r="J9" s="39">
        <f t="shared" ref="J9:J23" si="3">$J$5*G9</f>
        <v>0</v>
      </c>
      <c r="K9" s="33">
        <v>0</v>
      </c>
      <c r="L9" s="33">
        <f>G9*$L$5</f>
        <v>0</v>
      </c>
      <c r="M9" s="33">
        <v>0</v>
      </c>
      <c r="N9" s="33">
        <f t="shared" ref="N9:N21" si="4">ROUND(I9-SUM(J9:M9),0)</f>
        <v>0</v>
      </c>
      <c r="O9" s="12"/>
      <c r="P9" s="40" t="s">
        <v>33</v>
      </c>
      <c r="Q9" s="38">
        <v>150000</v>
      </c>
      <c r="R9" s="29">
        <v>0</v>
      </c>
      <c r="S9" s="45">
        <v>0</v>
      </c>
      <c r="T9" s="45">
        <v>0</v>
      </c>
      <c r="U9" s="37">
        <f>ROUND(Q9-R9-S9-T9,0)</f>
        <v>150000</v>
      </c>
      <c r="V9" s="59" t="s">
        <v>32</v>
      </c>
    </row>
    <row r="10" spans="2:22" ht="31.9" customHeight="1" x14ac:dyDescent="0.25">
      <c r="B10" s="7"/>
      <c r="C10" s="9"/>
      <c r="D10" s="58"/>
      <c r="E10" s="38"/>
      <c r="F10" s="63">
        <v>0</v>
      </c>
      <c r="G10" s="63">
        <f t="shared" si="0"/>
        <v>0</v>
      </c>
      <c r="H10" s="29">
        <f t="shared" si="2"/>
        <v>0</v>
      </c>
      <c r="I10" s="30">
        <f t="shared" si="1"/>
        <v>0</v>
      </c>
      <c r="J10" s="39">
        <f t="shared" si="3"/>
        <v>0</v>
      </c>
      <c r="K10" s="33">
        <v>0</v>
      </c>
      <c r="L10" s="33">
        <f>G10*$L$5</f>
        <v>0</v>
      </c>
      <c r="M10" s="33">
        <v>0</v>
      </c>
      <c r="N10" s="33">
        <f t="shared" si="4"/>
        <v>0</v>
      </c>
      <c r="O10" s="12"/>
      <c r="P10" s="40" t="s">
        <v>35</v>
      </c>
      <c r="Q10" s="38">
        <v>250000</v>
      </c>
      <c r="R10" s="29">
        <f t="shared" ref="R10:R22" si="5">Q10*$R$5</f>
        <v>2500</v>
      </c>
      <c r="S10" s="45">
        <v>0</v>
      </c>
      <c r="T10" s="45">
        <v>0</v>
      </c>
      <c r="U10" s="37">
        <f t="shared" ref="U10:U22" si="6">ROUND(Q10-R10-S10-T10,0)</f>
        <v>247500</v>
      </c>
      <c r="V10" s="48" t="s">
        <v>34</v>
      </c>
    </row>
    <row r="11" spans="2:22" ht="23.45" customHeight="1" x14ac:dyDescent="0.25">
      <c r="B11" s="7"/>
      <c r="C11" s="9"/>
      <c r="D11" s="58"/>
      <c r="E11" s="38"/>
      <c r="F11" s="63">
        <v>0</v>
      </c>
      <c r="G11" s="63">
        <f t="shared" si="0"/>
        <v>0</v>
      </c>
      <c r="H11" s="29">
        <f t="shared" si="2"/>
        <v>0</v>
      </c>
      <c r="I11" s="30">
        <f t="shared" si="1"/>
        <v>0</v>
      </c>
      <c r="J11" s="39">
        <f t="shared" si="3"/>
        <v>0</v>
      </c>
      <c r="K11" s="33">
        <v>0</v>
      </c>
      <c r="L11" s="33"/>
      <c r="M11" s="33">
        <f>H11</f>
        <v>0</v>
      </c>
      <c r="N11" s="33">
        <f t="shared" si="4"/>
        <v>0</v>
      </c>
      <c r="O11" s="12"/>
      <c r="P11" s="40" t="s">
        <v>37</v>
      </c>
      <c r="Q11" s="45">
        <v>80000</v>
      </c>
      <c r="R11" s="29">
        <f t="shared" si="5"/>
        <v>800</v>
      </c>
      <c r="S11" s="45">
        <v>0</v>
      </c>
      <c r="T11" s="45">
        <v>0</v>
      </c>
      <c r="U11" s="37">
        <f t="shared" si="6"/>
        <v>79200</v>
      </c>
      <c r="V11" s="48" t="s">
        <v>36</v>
      </c>
    </row>
    <row r="12" spans="2:22" ht="23.45" customHeight="1" x14ac:dyDescent="0.25">
      <c r="B12" s="7"/>
      <c r="C12" s="9"/>
      <c r="D12" s="58"/>
      <c r="E12" s="38"/>
      <c r="F12" s="63">
        <v>0</v>
      </c>
      <c r="G12" s="63">
        <f t="shared" si="0"/>
        <v>0</v>
      </c>
      <c r="H12" s="29">
        <f t="shared" si="2"/>
        <v>0</v>
      </c>
      <c r="I12" s="30">
        <f t="shared" si="1"/>
        <v>0</v>
      </c>
      <c r="J12" s="39">
        <f t="shared" si="3"/>
        <v>0</v>
      </c>
      <c r="K12" s="33">
        <v>0</v>
      </c>
      <c r="L12" s="33"/>
      <c r="M12" s="33">
        <f>H12</f>
        <v>0</v>
      </c>
      <c r="N12" s="33">
        <f t="shared" si="4"/>
        <v>0</v>
      </c>
      <c r="O12" s="12"/>
      <c r="P12" s="40" t="s">
        <v>40</v>
      </c>
      <c r="Q12" s="45">
        <v>200000</v>
      </c>
      <c r="R12" s="29">
        <f t="shared" si="5"/>
        <v>2000</v>
      </c>
      <c r="S12" s="45">
        <v>0</v>
      </c>
      <c r="T12" s="45">
        <v>0</v>
      </c>
      <c r="U12" s="37">
        <f t="shared" si="6"/>
        <v>198000</v>
      </c>
      <c r="V12" s="48" t="s">
        <v>39</v>
      </c>
    </row>
    <row r="13" spans="2:22" ht="23.45" customHeight="1" x14ac:dyDescent="0.25">
      <c r="B13" s="7"/>
      <c r="C13" s="9"/>
      <c r="D13" s="58"/>
      <c r="E13" s="38"/>
      <c r="F13" s="63">
        <v>0</v>
      </c>
      <c r="G13" s="63">
        <f t="shared" si="0"/>
        <v>0</v>
      </c>
      <c r="H13" s="29">
        <f t="shared" si="2"/>
        <v>0</v>
      </c>
      <c r="I13" s="30">
        <f t="shared" si="1"/>
        <v>0</v>
      </c>
      <c r="J13" s="39">
        <f t="shared" si="3"/>
        <v>0</v>
      </c>
      <c r="K13" s="33">
        <v>0</v>
      </c>
      <c r="L13" s="33"/>
      <c r="M13" s="33">
        <f>H13</f>
        <v>0</v>
      </c>
      <c r="N13" s="33">
        <f t="shared" si="4"/>
        <v>0</v>
      </c>
      <c r="O13" s="12"/>
      <c r="P13" s="40"/>
      <c r="Q13" s="45"/>
      <c r="R13" s="29">
        <f t="shared" si="5"/>
        <v>0</v>
      </c>
      <c r="S13" s="45">
        <v>0</v>
      </c>
      <c r="T13" s="45">
        <v>0</v>
      </c>
      <c r="U13" s="37">
        <f t="shared" si="6"/>
        <v>0</v>
      </c>
      <c r="V13" s="48"/>
    </row>
    <row r="14" spans="2:22" ht="23.45" customHeight="1" x14ac:dyDescent="0.25">
      <c r="B14" s="42"/>
      <c r="C14" s="43"/>
      <c r="D14" s="43"/>
      <c r="E14" s="44"/>
      <c r="F14" s="45">
        <v>0</v>
      </c>
      <c r="G14" s="63">
        <f t="shared" si="0"/>
        <v>0</v>
      </c>
      <c r="H14" s="29">
        <f t="shared" si="2"/>
        <v>0</v>
      </c>
      <c r="I14" s="30">
        <f t="shared" si="1"/>
        <v>0</v>
      </c>
      <c r="J14" s="39">
        <f t="shared" si="3"/>
        <v>0</v>
      </c>
      <c r="K14" s="33">
        <v>0</v>
      </c>
      <c r="L14" s="33"/>
      <c r="M14" s="33">
        <v>0</v>
      </c>
      <c r="N14" s="33">
        <f t="shared" si="4"/>
        <v>0</v>
      </c>
      <c r="O14" s="12"/>
      <c r="P14" s="40"/>
      <c r="Q14" s="45"/>
      <c r="R14" s="29">
        <f t="shared" si="5"/>
        <v>0</v>
      </c>
      <c r="S14" s="45">
        <v>0</v>
      </c>
      <c r="T14" s="45">
        <v>0</v>
      </c>
      <c r="U14" s="37">
        <f t="shared" si="6"/>
        <v>0</v>
      </c>
      <c r="V14" s="48"/>
    </row>
    <row r="15" spans="2:22" ht="23.45" customHeight="1" x14ac:dyDescent="0.25">
      <c r="B15" s="42"/>
      <c r="C15" s="43"/>
      <c r="D15" s="43"/>
      <c r="E15" s="44"/>
      <c r="F15" s="45">
        <v>0</v>
      </c>
      <c r="G15" s="63">
        <f t="shared" si="0"/>
        <v>0</v>
      </c>
      <c r="H15" s="29">
        <f t="shared" si="2"/>
        <v>0</v>
      </c>
      <c r="I15" s="30">
        <f t="shared" si="1"/>
        <v>0</v>
      </c>
      <c r="J15" s="39">
        <f t="shared" si="3"/>
        <v>0</v>
      </c>
      <c r="K15" s="33">
        <v>0</v>
      </c>
      <c r="L15" s="33"/>
      <c r="M15" s="33">
        <v>0</v>
      </c>
      <c r="N15" s="33">
        <f t="shared" si="4"/>
        <v>0</v>
      </c>
      <c r="O15" s="12"/>
      <c r="P15" s="40"/>
      <c r="Q15" s="45"/>
      <c r="R15" s="29">
        <f t="shared" si="5"/>
        <v>0</v>
      </c>
      <c r="S15" s="45">
        <v>0</v>
      </c>
      <c r="T15" s="45">
        <v>0</v>
      </c>
      <c r="U15" s="37">
        <f t="shared" si="6"/>
        <v>0</v>
      </c>
      <c r="V15" s="60"/>
    </row>
    <row r="16" spans="2:22" ht="23.45" customHeight="1" x14ac:dyDescent="0.25">
      <c r="B16" s="42"/>
      <c r="C16" s="43"/>
      <c r="D16" s="43"/>
      <c r="E16" s="44"/>
      <c r="F16" s="45">
        <v>0</v>
      </c>
      <c r="G16" s="63">
        <f t="shared" si="0"/>
        <v>0</v>
      </c>
      <c r="H16" s="29">
        <f t="shared" si="2"/>
        <v>0</v>
      </c>
      <c r="I16" s="30">
        <f t="shared" si="1"/>
        <v>0</v>
      </c>
      <c r="J16" s="39">
        <f t="shared" si="3"/>
        <v>0</v>
      </c>
      <c r="K16" s="33">
        <v>0</v>
      </c>
      <c r="L16" s="33"/>
      <c r="M16" s="33">
        <v>0</v>
      </c>
      <c r="N16" s="33">
        <f t="shared" si="4"/>
        <v>0</v>
      </c>
      <c r="O16" s="12"/>
      <c r="P16" s="61"/>
      <c r="Q16" s="45"/>
      <c r="R16" s="29">
        <f t="shared" si="5"/>
        <v>0</v>
      </c>
      <c r="S16" s="45">
        <v>0</v>
      </c>
      <c r="T16" s="45">
        <v>0</v>
      </c>
      <c r="U16" s="37">
        <f t="shared" si="6"/>
        <v>0</v>
      </c>
      <c r="V16" s="48"/>
    </row>
    <row r="17" spans="1:22" ht="23.45" customHeight="1" x14ac:dyDescent="0.25">
      <c r="B17" s="42"/>
      <c r="C17" s="43"/>
      <c r="D17" s="43"/>
      <c r="E17" s="44"/>
      <c r="F17" s="45">
        <v>0</v>
      </c>
      <c r="G17" s="63">
        <f t="shared" si="0"/>
        <v>0</v>
      </c>
      <c r="H17" s="29">
        <f t="shared" si="2"/>
        <v>0</v>
      </c>
      <c r="I17" s="30">
        <f t="shared" si="1"/>
        <v>0</v>
      </c>
      <c r="J17" s="39">
        <f t="shared" si="3"/>
        <v>0</v>
      </c>
      <c r="K17" s="33">
        <v>0</v>
      </c>
      <c r="L17" s="33"/>
      <c r="M17" s="33">
        <v>0</v>
      </c>
      <c r="N17" s="33">
        <f t="shared" si="4"/>
        <v>0</v>
      </c>
      <c r="O17" s="12"/>
      <c r="P17" s="40"/>
      <c r="Q17" s="45"/>
      <c r="R17" s="29">
        <f t="shared" si="5"/>
        <v>0</v>
      </c>
      <c r="S17" s="45">
        <v>0</v>
      </c>
      <c r="T17" s="45">
        <v>0</v>
      </c>
      <c r="U17" s="37">
        <f t="shared" si="6"/>
        <v>0</v>
      </c>
      <c r="V17" s="48"/>
    </row>
    <row r="18" spans="1:22" ht="23.45" customHeight="1" x14ac:dyDescent="0.25">
      <c r="B18" s="42"/>
      <c r="C18" s="43"/>
      <c r="D18" s="43"/>
      <c r="E18" s="44"/>
      <c r="F18" s="45">
        <v>0</v>
      </c>
      <c r="G18" s="63">
        <f t="shared" si="0"/>
        <v>0</v>
      </c>
      <c r="H18" s="29">
        <f t="shared" si="2"/>
        <v>0</v>
      </c>
      <c r="I18" s="30">
        <f t="shared" si="1"/>
        <v>0</v>
      </c>
      <c r="J18" s="39">
        <f t="shared" si="3"/>
        <v>0</v>
      </c>
      <c r="K18" s="33">
        <v>0</v>
      </c>
      <c r="L18" s="33"/>
      <c r="M18" s="33">
        <v>0</v>
      </c>
      <c r="N18" s="33">
        <f t="shared" si="4"/>
        <v>0</v>
      </c>
      <c r="O18" s="12"/>
      <c r="P18" s="40"/>
      <c r="Q18" s="45"/>
      <c r="R18" s="29">
        <f t="shared" si="5"/>
        <v>0</v>
      </c>
      <c r="S18" s="45">
        <v>0</v>
      </c>
      <c r="T18" s="45">
        <v>0</v>
      </c>
      <c r="U18" s="37">
        <f t="shared" si="6"/>
        <v>0</v>
      </c>
      <c r="V18" s="48"/>
    </row>
    <row r="19" spans="1:22" ht="23.45" customHeight="1" x14ac:dyDescent="0.25">
      <c r="B19" s="42"/>
      <c r="C19" s="43"/>
      <c r="D19" s="43"/>
      <c r="E19" s="44"/>
      <c r="F19" s="45">
        <v>0</v>
      </c>
      <c r="G19" s="63">
        <f t="shared" si="0"/>
        <v>0</v>
      </c>
      <c r="H19" s="29">
        <f t="shared" si="2"/>
        <v>0</v>
      </c>
      <c r="I19" s="30">
        <f t="shared" si="1"/>
        <v>0</v>
      </c>
      <c r="J19" s="39">
        <f t="shared" si="3"/>
        <v>0</v>
      </c>
      <c r="K19" s="33">
        <v>0</v>
      </c>
      <c r="L19" s="33"/>
      <c r="M19" s="33">
        <v>0</v>
      </c>
      <c r="N19" s="33">
        <f t="shared" si="4"/>
        <v>0</v>
      </c>
      <c r="O19" s="12"/>
      <c r="P19" s="40"/>
      <c r="Q19" s="45"/>
      <c r="R19" s="29">
        <f t="shared" si="5"/>
        <v>0</v>
      </c>
      <c r="S19" s="45">
        <v>0</v>
      </c>
      <c r="T19" s="45">
        <v>0</v>
      </c>
      <c r="U19" s="37">
        <f t="shared" si="6"/>
        <v>0</v>
      </c>
      <c r="V19" s="48"/>
    </row>
    <row r="20" spans="1:22" ht="23.45" customHeight="1" x14ac:dyDescent="0.25">
      <c r="B20" s="42"/>
      <c r="C20" s="43"/>
      <c r="D20" s="43"/>
      <c r="E20" s="44"/>
      <c r="F20" s="45">
        <v>0</v>
      </c>
      <c r="G20" s="63">
        <f t="shared" si="0"/>
        <v>0</v>
      </c>
      <c r="H20" s="29">
        <f t="shared" si="2"/>
        <v>0</v>
      </c>
      <c r="I20" s="30">
        <f t="shared" si="1"/>
        <v>0</v>
      </c>
      <c r="J20" s="39">
        <f t="shared" si="3"/>
        <v>0</v>
      </c>
      <c r="K20" s="33">
        <v>0</v>
      </c>
      <c r="L20" s="33"/>
      <c r="M20" s="33">
        <v>0</v>
      </c>
      <c r="N20" s="33">
        <f t="shared" si="4"/>
        <v>0</v>
      </c>
      <c r="O20" s="12"/>
      <c r="P20" s="40"/>
      <c r="Q20" s="45"/>
      <c r="R20" s="29">
        <f t="shared" si="5"/>
        <v>0</v>
      </c>
      <c r="S20" s="45">
        <v>0</v>
      </c>
      <c r="T20" s="45">
        <v>0</v>
      </c>
      <c r="U20" s="37">
        <f t="shared" si="6"/>
        <v>0</v>
      </c>
      <c r="V20" s="48"/>
    </row>
    <row r="21" spans="1:22" ht="23.45" customHeight="1" x14ac:dyDescent="0.25">
      <c r="B21" s="42"/>
      <c r="C21" s="43"/>
      <c r="D21" s="43"/>
      <c r="E21" s="44"/>
      <c r="F21" s="45">
        <v>0</v>
      </c>
      <c r="G21" s="63">
        <f t="shared" si="0"/>
        <v>0</v>
      </c>
      <c r="H21" s="29">
        <f t="shared" si="2"/>
        <v>0</v>
      </c>
      <c r="I21" s="30">
        <f t="shared" si="1"/>
        <v>0</v>
      </c>
      <c r="J21" s="39">
        <f t="shared" si="3"/>
        <v>0</v>
      </c>
      <c r="K21" s="33">
        <v>0</v>
      </c>
      <c r="L21" s="33"/>
      <c r="M21" s="33">
        <v>0</v>
      </c>
      <c r="N21" s="33">
        <f t="shared" si="4"/>
        <v>0</v>
      </c>
      <c r="O21" s="12"/>
      <c r="P21" s="40"/>
      <c r="Q21" s="45"/>
      <c r="R21" s="29">
        <f t="shared" si="5"/>
        <v>0</v>
      </c>
      <c r="S21" s="45">
        <v>0</v>
      </c>
      <c r="T21" s="45">
        <v>0</v>
      </c>
      <c r="U21" s="37">
        <f t="shared" si="6"/>
        <v>0</v>
      </c>
      <c r="V21" s="48"/>
    </row>
    <row r="22" spans="1:22" ht="23.45" customHeight="1" x14ac:dyDescent="0.25">
      <c r="B22" s="42"/>
      <c r="C22" s="43"/>
      <c r="D22" s="43"/>
      <c r="E22" s="44"/>
      <c r="F22" s="45">
        <v>0</v>
      </c>
      <c r="G22" s="63">
        <f t="shared" si="0"/>
        <v>0</v>
      </c>
      <c r="H22" s="29">
        <f t="shared" si="2"/>
        <v>0</v>
      </c>
      <c r="I22" s="30">
        <f t="shared" si="1"/>
        <v>0</v>
      </c>
      <c r="J22" s="39">
        <f t="shared" si="3"/>
        <v>0</v>
      </c>
      <c r="K22" s="46"/>
      <c r="L22" s="46"/>
      <c r="M22" s="46"/>
      <c r="N22" s="46"/>
      <c r="O22" s="12"/>
      <c r="P22" s="40"/>
      <c r="Q22" s="45"/>
      <c r="R22" s="29">
        <f t="shared" si="5"/>
        <v>0</v>
      </c>
      <c r="S22" s="45">
        <v>0</v>
      </c>
      <c r="T22" s="45">
        <v>0</v>
      </c>
      <c r="U22" s="37">
        <f t="shared" si="6"/>
        <v>0</v>
      </c>
      <c r="V22" s="48"/>
    </row>
    <row r="23" spans="1:22" ht="18" customHeight="1" x14ac:dyDescent="0.25">
      <c r="B23" s="42"/>
      <c r="C23" s="43"/>
      <c r="D23" s="43"/>
      <c r="E23" s="44"/>
      <c r="F23" s="45">
        <v>0</v>
      </c>
      <c r="G23" s="63">
        <f t="shared" si="0"/>
        <v>0</v>
      </c>
      <c r="H23" s="29">
        <f t="shared" si="2"/>
        <v>0</v>
      </c>
      <c r="I23" s="30">
        <f t="shared" si="1"/>
        <v>0</v>
      </c>
      <c r="J23" s="39">
        <f t="shared" si="3"/>
        <v>0</v>
      </c>
      <c r="K23" s="46"/>
      <c r="L23" s="46"/>
      <c r="M23" s="46"/>
      <c r="N23" s="46"/>
      <c r="O23" s="12"/>
      <c r="P23" s="40"/>
      <c r="Q23" s="45"/>
      <c r="R23" s="45"/>
      <c r="S23" s="45"/>
      <c r="T23" s="45"/>
      <c r="U23" s="47"/>
      <c r="V23" s="48"/>
    </row>
    <row r="24" spans="1:22" ht="15.75" thickBot="1" x14ac:dyDescent="0.3">
      <c r="B24" s="6"/>
      <c r="C24" s="10"/>
      <c r="D24" s="10"/>
      <c r="E24" s="49"/>
      <c r="F24" s="49"/>
      <c r="G24" s="49"/>
      <c r="H24" s="50"/>
      <c r="I24" s="51"/>
      <c r="J24" s="52"/>
      <c r="K24" s="53"/>
      <c r="L24" s="53"/>
      <c r="M24" s="53"/>
      <c r="N24" s="53"/>
      <c r="O24" s="12"/>
      <c r="P24" s="54"/>
      <c r="Q24" s="50"/>
      <c r="R24" s="50"/>
      <c r="S24" s="50"/>
      <c r="T24" s="50"/>
      <c r="U24" s="55"/>
      <c r="V24" s="53"/>
    </row>
    <row r="25" spans="1:22" x14ac:dyDescent="0.25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30"/>
      <c r="V25" s="29"/>
    </row>
    <row r="26" spans="1:22" x14ac:dyDescent="0.25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30"/>
      <c r="V26" s="45"/>
    </row>
    <row r="27" spans="1:22" x14ac:dyDescent="0.25">
      <c r="A27" s="29"/>
      <c r="B27" s="29"/>
      <c r="C27" s="29"/>
      <c r="D27" s="29"/>
      <c r="E27" s="29"/>
      <c r="F27" s="29"/>
      <c r="G27" s="29"/>
      <c r="H27" s="29"/>
      <c r="I27" s="29"/>
      <c r="J27" s="65" t="s">
        <v>22</v>
      </c>
      <c r="K27" s="65"/>
      <c r="L27" s="65"/>
      <c r="M27" s="65"/>
      <c r="N27" s="65">
        <f>SUM(N6:N24)</f>
        <v>693641</v>
      </c>
      <c r="O27" s="65"/>
      <c r="P27" s="65"/>
      <c r="Q27" s="65"/>
      <c r="R27" s="65" t="s">
        <v>24</v>
      </c>
      <c r="S27" s="65"/>
      <c r="T27" s="65"/>
      <c r="U27" s="57">
        <f>SUM(U5:U24)</f>
        <v>724200</v>
      </c>
      <c r="V27" s="45"/>
    </row>
    <row r="28" spans="1:22" x14ac:dyDescent="0.25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30"/>
      <c r="V28" s="45"/>
    </row>
    <row r="29" spans="1:22" x14ac:dyDescent="0.25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65" t="s">
        <v>23</v>
      </c>
      <c r="S29" s="29"/>
      <c r="T29" s="29"/>
      <c r="U29" s="57">
        <f>N27-U27</f>
        <v>-30559</v>
      </c>
      <c r="V29" s="45"/>
    </row>
    <row r="30" spans="1:22" x14ac:dyDescent="0.25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30"/>
      <c r="V30" s="45"/>
    </row>
    <row r="33" spans="7:13" x14ac:dyDescent="0.25">
      <c r="G33" s="66"/>
    </row>
    <row r="36" spans="7:13" x14ac:dyDescent="0.25">
      <c r="J36" s="66"/>
    </row>
    <row r="37" spans="7:13" x14ac:dyDescent="0.25">
      <c r="J37" s="66"/>
      <c r="M37" s="66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28"/>
  <sheetViews>
    <sheetView tabSelected="1" zoomScaleNormal="100" zoomScaleSheetLayoutView="40" workbookViewId="0">
      <pane xSplit="3" ySplit="5" topLeftCell="D13" activePane="bottomRight" state="frozen"/>
      <selection pane="topRight" activeCell="D1" sqref="D1"/>
      <selection pane="bottomLeft" activeCell="A6" sqref="A6"/>
      <selection pane="bottomRight" activeCell="N24" activeCellId="1" sqref="J24:L24 N24"/>
    </sheetView>
  </sheetViews>
  <sheetFormatPr defaultColWidth="9" defaultRowHeight="24.95" customHeight="1" x14ac:dyDescent="0.25"/>
  <cols>
    <col min="1" max="1" width="32.140625" style="17" bestFit="1" customWidth="1"/>
    <col min="2" max="2" width="13.7109375" style="17" bestFit="1" customWidth="1"/>
    <col min="3" max="3" width="15.28515625" style="103" customWidth="1"/>
    <col min="4" max="4" width="20.42578125" style="17" bestFit="1" customWidth="1"/>
    <col min="5" max="5" width="16.7109375" style="17" bestFit="1" customWidth="1"/>
    <col min="6" max="7" width="20.42578125" style="17" bestFit="1" customWidth="1"/>
    <col min="8" max="8" width="20.42578125" style="73" bestFit="1" customWidth="1"/>
    <col min="9" max="9" width="12.42578125" style="17" bestFit="1" customWidth="1"/>
    <col min="10" max="10" width="14.5703125" style="17" customWidth="1"/>
    <col min="11" max="11" width="14.42578125" style="17" bestFit="1" customWidth="1"/>
    <col min="12" max="14" width="18.140625" style="17" bestFit="1" customWidth="1"/>
    <col min="15" max="15" width="20.42578125" style="17" bestFit="1" customWidth="1"/>
    <col min="16" max="16" width="14.28515625" style="17" customWidth="1"/>
    <col min="17" max="17" width="22.85546875" style="17" bestFit="1" customWidth="1"/>
    <col min="18" max="18" width="85.5703125" style="17" bestFit="1" customWidth="1"/>
    <col min="19" max="16384" width="9" style="17"/>
  </cols>
  <sheetData>
    <row r="1" spans="1:18" s="75" customFormat="1" ht="24.95" customHeight="1" x14ac:dyDescent="0.25">
      <c r="A1" s="104" t="s">
        <v>48</v>
      </c>
      <c r="C1" s="96"/>
      <c r="H1" s="76"/>
    </row>
    <row r="2" spans="1:18" s="75" customFormat="1" ht="24.95" customHeight="1" x14ac:dyDescent="0.25">
      <c r="A2" s="104" t="s">
        <v>52</v>
      </c>
      <c r="B2" s="77"/>
      <c r="C2" s="97"/>
      <c r="H2" s="78"/>
      <c r="I2" s="79"/>
      <c r="J2" s="79"/>
      <c r="K2" s="79"/>
      <c r="L2" s="79"/>
      <c r="M2" s="79"/>
      <c r="N2" s="79"/>
      <c r="O2" s="79"/>
      <c r="P2" s="79"/>
    </row>
    <row r="3" spans="1:18" ht="24.95" customHeight="1" thickBot="1" x14ac:dyDescent="0.3">
      <c r="A3" s="67"/>
      <c r="B3" s="67"/>
      <c r="C3" s="98"/>
      <c r="D3" s="67"/>
      <c r="E3" s="67"/>
      <c r="F3" s="67"/>
      <c r="G3" s="67"/>
      <c r="H3" s="68"/>
      <c r="I3" s="67"/>
      <c r="J3" s="67"/>
      <c r="K3" s="67"/>
      <c r="L3" s="67"/>
      <c r="M3" s="67"/>
      <c r="N3" s="67"/>
      <c r="Q3" s="69"/>
      <c r="R3" s="69"/>
    </row>
    <row r="4" spans="1:18" ht="36" x14ac:dyDescent="0.25">
      <c r="A4" s="80" t="s">
        <v>1</v>
      </c>
      <c r="B4" s="80" t="s">
        <v>2</v>
      </c>
      <c r="C4" s="99" t="s">
        <v>3</v>
      </c>
      <c r="D4" s="80" t="s">
        <v>4</v>
      </c>
      <c r="E4" s="81" t="s">
        <v>18</v>
      </c>
      <c r="F4" s="81" t="s">
        <v>19</v>
      </c>
      <c r="G4" s="81" t="s">
        <v>45</v>
      </c>
      <c r="H4" s="82" t="s">
        <v>6</v>
      </c>
      <c r="I4" s="81" t="s">
        <v>49</v>
      </c>
      <c r="J4" s="81" t="s">
        <v>44</v>
      </c>
      <c r="K4" s="81" t="s">
        <v>46</v>
      </c>
      <c r="L4" s="81" t="s">
        <v>62</v>
      </c>
      <c r="M4" s="81" t="s">
        <v>47</v>
      </c>
      <c r="N4" s="81" t="s">
        <v>60</v>
      </c>
      <c r="O4" s="81" t="s">
        <v>8</v>
      </c>
      <c r="P4" s="81" t="s">
        <v>51</v>
      </c>
      <c r="Q4" s="81" t="s">
        <v>10</v>
      </c>
      <c r="R4" s="81" t="s">
        <v>11</v>
      </c>
    </row>
    <row r="5" spans="1:18" ht="24.95" customHeight="1" thickBot="1" x14ac:dyDescent="0.3">
      <c r="A5" s="70"/>
      <c r="B5" s="70"/>
      <c r="C5" s="100"/>
      <c r="D5" s="70"/>
      <c r="E5" s="70"/>
      <c r="F5" s="70"/>
      <c r="G5" s="71">
        <v>0.18</v>
      </c>
      <c r="H5" s="70"/>
      <c r="I5" s="71">
        <v>0.01</v>
      </c>
      <c r="J5" s="71">
        <v>0.05</v>
      </c>
      <c r="K5" s="71">
        <v>0.05</v>
      </c>
      <c r="L5" s="71">
        <v>0.1</v>
      </c>
      <c r="M5" s="71">
        <v>0.18</v>
      </c>
      <c r="N5" s="71"/>
      <c r="O5" s="70"/>
      <c r="P5" s="88"/>
      <c r="Q5" s="70"/>
      <c r="R5" s="70"/>
    </row>
    <row r="6" spans="1:18" ht="24.95" customHeight="1" x14ac:dyDescent="0.25">
      <c r="A6" s="112" t="s">
        <v>50</v>
      </c>
      <c r="B6" s="94">
        <v>45708</v>
      </c>
      <c r="C6" s="101">
        <v>1</v>
      </c>
      <c r="D6" s="72">
        <v>758084</v>
      </c>
      <c r="E6" s="72">
        <v>1555</v>
      </c>
      <c r="F6" s="72">
        <f>ROUND(D6-E6,2)</f>
        <v>756529</v>
      </c>
      <c r="G6" s="72">
        <f>F6*$G$5</f>
        <v>136175.22</v>
      </c>
      <c r="H6" s="72">
        <f>ROUND(F6+G6,2)</f>
        <v>892704.22</v>
      </c>
      <c r="I6" s="72">
        <f>ROUND((F6-P6)*$I$5,2)</f>
        <v>7565.29</v>
      </c>
      <c r="J6" s="72">
        <f>ROUND(F6*$J$5,2)</f>
        <v>37826.449999999997</v>
      </c>
      <c r="K6" s="72">
        <f>ROUND(F6*$K$5,2)</f>
        <v>37826.449999999997</v>
      </c>
      <c r="L6" s="111"/>
      <c r="M6" s="106">
        <f>G6</f>
        <v>136175.22</v>
      </c>
      <c r="N6" s="89"/>
      <c r="O6" s="72">
        <f>ROUND(H6-SUM(I6:M6),0)</f>
        <v>673311</v>
      </c>
      <c r="P6" s="87"/>
      <c r="Q6" s="72">
        <v>495000</v>
      </c>
      <c r="R6" s="95" t="s">
        <v>53</v>
      </c>
    </row>
    <row r="7" spans="1:18" ht="24.95" customHeight="1" x14ac:dyDescent="0.25">
      <c r="A7" s="83" t="s">
        <v>54</v>
      </c>
      <c r="B7" s="94"/>
      <c r="C7" s="101">
        <v>1</v>
      </c>
      <c r="D7" s="85">
        <f>M6</f>
        <v>136175.22</v>
      </c>
      <c r="E7" s="83"/>
      <c r="F7" s="72"/>
      <c r="G7" s="72"/>
      <c r="H7" s="72"/>
      <c r="I7" s="72"/>
      <c r="J7" s="72"/>
      <c r="K7" s="72"/>
      <c r="L7" s="109"/>
      <c r="M7" s="72"/>
      <c r="N7" s="89"/>
      <c r="O7" s="106">
        <f>D7</f>
        <v>136175.22</v>
      </c>
      <c r="P7" s="84"/>
      <c r="Q7" s="83">
        <v>178312</v>
      </c>
      <c r="R7" s="95" t="s">
        <v>55</v>
      </c>
    </row>
    <row r="8" spans="1:18" ht="24.95" customHeight="1" x14ac:dyDescent="0.25">
      <c r="A8" s="83"/>
      <c r="B8" s="94">
        <v>45740</v>
      </c>
      <c r="C8" s="85">
        <v>2</v>
      </c>
      <c r="D8" s="85">
        <v>1213409</v>
      </c>
      <c r="E8" s="83">
        <v>117000</v>
      </c>
      <c r="F8" s="83">
        <f>ROUND(D8-E8,2)</f>
        <v>1096409</v>
      </c>
      <c r="G8" s="83">
        <f>F8*$G$5</f>
        <v>197353.62</v>
      </c>
      <c r="H8" s="83">
        <f>ROUND(F8+G8,2)</f>
        <v>1293762.6200000001</v>
      </c>
      <c r="I8" s="72">
        <f>ROUND((F8-P8)*$I$5,2)</f>
        <v>10964.09</v>
      </c>
      <c r="J8" s="83">
        <f>ROUND(F8*$J$5,2)</f>
        <v>54820.45</v>
      </c>
      <c r="K8" s="83">
        <f>ROUND(F8*$K$5,2)</f>
        <v>54820.45</v>
      </c>
      <c r="L8" s="110"/>
      <c r="M8" s="107">
        <f>G8</f>
        <v>197353.62</v>
      </c>
      <c r="N8" s="89"/>
      <c r="O8" s="83">
        <f>ROUND(H8-SUM(I8:M8),0)</f>
        <v>975804</v>
      </c>
      <c r="P8" s="84"/>
      <c r="Q8" s="83">
        <v>136175</v>
      </c>
      <c r="R8" s="95" t="s">
        <v>56</v>
      </c>
    </row>
    <row r="9" spans="1:18" ht="24.95" customHeight="1" x14ac:dyDescent="0.25">
      <c r="A9" s="89" t="s">
        <v>54</v>
      </c>
      <c r="B9" s="89"/>
      <c r="C9" s="92">
        <v>2</v>
      </c>
      <c r="D9" s="92">
        <f>M8</f>
        <v>197353.62</v>
      </c>
      <c r="E9" s="89"/>
      <c r="F9" s="89"/>
      <c r="G9" s="89"/>
      <c r="H9" s="89"/>
      <c r="I9" s="89"/>
      <c r="J9" s="89"/>
      <c r="K9" s="89"/>
      <c r="L9" s="89"/>
      <c r="M9" s="89"/>
      <c r="N9" s="89"/>
      <c r="O9" s="108">
        <f>D9</f>
        <v>197353.62</v>
      </c>
      <c r="P9" s="93"/>
      <c r="Q9" s="89">
        <v>975804</v>
      </c>
      <c r="R9" s="95" t="s">
        <v>57</v>
      </c>
    </row>
    <row r="10" spans="1:18" ht="24.95" customHeight="1" x14ac:dyDescent="0.25">
      <c r="A10" s="89"/>
      <c r="B10" s="105">
        <v>45887</v>
      </c>
      <c r="C10" s="92">
        <v>3</v>
      </c>
      <c r="D10" s="92">
        <v>125076</v>
      </c>
      <c r="E10" s="89"/>
      <c r="F10" s="89">
        <f>ROUND(D10-E10,2)</f>
        <v>125076</v>
      </c>
      <c r="G10" s="89">
        <f>F10*$G$5</f>
        <v>22513.68</v>
      </c>
      <c r="H10" s="89">
        <f>ROUND(F10+G10,2)</f>
        <v>147589.68</v>
      </c>
      <c r="I10" s="89">
        <f>ROUND((F10-P10)*$I$5,2)</f>
        <v>1250.76</v>
      </c>
      <c r="J10" s="89">
        <f>ROUND(F10*$J$5,2)</f>
        <v>6253.8</v>
      </c>
      <c r="K10" s="89">
        <f>ROUND(F10*$K$5,2)</f>
        <v>6253.8</v>
      </c>
      <c r="L10" s="89"/>
      <c r="M10" s="89">
        <f>G10</f>
        <v>22513.68</v>
      </c>
      <c r="N10" s="89"/>
      <c r="O10" s="89">
        <f>ROUND(H10-SUM(I10:M10),0)</f>
        <v>111318</v>
      </c>
      <c r="P10" s="93"/>
      <c r="Q10" s="89">
        <v>197354</v>
      </c>
      <c r="R10" s="95" t="s">
        <v>58</v>
      </c>
    </row>
    <row r="11" spans="1:18" ht="24.95" customHeight="1" x14ac:dyDescent="0.25">
      <c r="A11" s="89" t="s">
        <v>63</v>
      </c>
      <c r="B11" s="105">
        <v>45944</v>
      </c>
      <c r="C11" s="92">
        <v>4</v>
      </c>
      <c r="D11" s="92">
        <v>2731560</v>
      </c>
      <c r="E11" s="89"/>
      <c r="F11" s="89">
        <f>ROUND(D11-E11,2)</f>
        <v>2731560</v>
      </c>
      <c r="G11" s="89">
        <f>F11*$G$5</f>
        <v>491680.8</v>
      </c>
      <c r="H11" s="89">
        <f>ROUND(F11+G11,2)</f>
        <v>3223240.8</v>
      </c>
      <c r="I11" s="89">
        <f>ROUND((F11-P11)*$I$5,2)</f>
        <v>27315.599999999999</v>
      </c>
      <c r="J11" s="89"/>
      <c r="K11" s="89"/>
      <c r="L11" s="89">
        <f>F11*$L$5</f>
        <v>273156</v>
      </c>
      <c r="M11" s="108">
        <f>G11</f>
        <v>491680.8</v>
      </c>
      <c r="N11" s="89">
        <f>F11*12%</f>
        <v>327787.2</v>
      </c>
      <c r="O11" s="89">
        <f>ROUND(H11-SUM(I11:N11),0)</f>
        <v>2103301</v>
      </c>
      <c r="P11" s="93"/>
      <c r="Q11" s="89">
        <v>111317</v>
      </c>
      <c r="R11" s="95" t="s">
        <v>59</v>
      </c>
    </row>
    <row r="12" spans="1:18" ht="24.95" customHeight="1" x14ac:dyDescent="0.25">
      <c r="A12" s="89" t="s">
        <v>63</v>
      </c>
      <c r="B12" s="105">
        <v>45995</v>
      </c>
      <c r="C12" s="92">
        <v>5</v>
      </c>
      <c r="D12" s="92">
        <v>3458250</v>
      </c>
      <c r="E12" s="89"/>
      <c r="F12" s="89">
        <f>ROUND(D12-E12,2)</f>
        <v>3458250</v>
      </c>
      <c r="G12" s="89">
        <f>F12*$G$5</f>
        <v>622485</v>
      </c>
      <c r="H12" s="89">
        <f>ROUND(F12+G12,2)</f>
        <v>4080735</v>
      </c>
      <c r="I12" s="89">
        <f>ROUND((F12-P12)*$I$5,2)</f>
        <v>34582.5</v>
      </c>
      <c r="J12" s="89"/>
      <c r="K12" s="89"/>
      <c r="L12" s="89">
        <f>F12*$L$5</f>
        <v>345825</v>
      </c>
      <c r="M12" s="108">
        <f>G12</f>
        <v>622485</v>
      </c>
      <c r="N12" s="89">
        <f>F12*12%</f>
        <v>414990</v>
      </c>
      <c r="O12" s="89">
        <f>ROUND(H12-SUM(I12:N12),0)</f>
        <v>2662853</v>
      </c>
      <c r="P12" s="93"/>
      <c r="Q12" s="89">
        <v>2103301</v>
      </c>
      <c r="R12" s="95" t="s">
        <v>61</v>
      </c>
    </row>
    <row r="13" spans="1:18" ht="24.95" customHeight="1" x14ac:dyDescent="0.25">
      <c r="A13" s="89" t="s">
        <v>54</v>
      </c>
      <c r="B13" s="89"/>
      <c r="C13" s="92">
        <v>4</v>
      </c>
      <c r="D13" s="92">
        <f>M11</f>
        <v>491680.8</v>
      </c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108">
        <f>D13</f>
        <v>491680.8</v>
      </c>
      <c r="P13" s="93"/>
      <c r="Q13" s="89">
        <v>2662851</v>
      </c>
      <c r="R13" s="95" t="s">
        <v>64</v>
      </c>
    </row>
    <row r="14" spans="1:18" ht="24.95" customHeight="1" x14ac:dyDescent="0.25">
      <c r="A14" s="89" t="s">
        <v>63</v>
      </c>
      <c r="B14" s="105">
        <v>46009</v>
      </c>
      <c r="C14" s="92">
        <v>6</v>
      </c>
      <c r="D14" s="92">
        <v>5496750</v>
      </c>
      <c r="E14" s="89"/>
      <c r="F14" s="89">
        <f>ROUND(D14-E14,2)</f>
        <v>5496750</v>
      </c>
      <c r="G14" s="89">
        <f>F14*$G$5</f>
        <v>989415</v>
      </c>
      <c r="H14" s="89">
        <f>ROUND(F14+G14,2)</f>
        <v>6486165</v>
      </c>
      <c r="I14" s="89">
        <f>ROUND((F14-P14)*$I$5,2)</f>
        <v>54967.5</v>
      </c>
      <c r="J14" s="89"/>
      <c r="K14" s="89"/>
      <c r="L14" s="89">
        <f>F14*$L$5</f>
        <v>549675</v>
      </c>
      <c r="M14" s="108">
        <f>G14</f>
        <v>989415</v>
      </c>
      <c r="N14" s="89">
        <f>F14*12%</f>
        <v>659610</v>
      </c>
      <c r="O14" s="89">
        <f>ROUND(H14-SUM(I14:N14),0)</f>
        <v>4232498</v>
      </c>
      <c r="P14" s="93"/>
      <c r="Q14" s="89">
        <v>491681</v>
      </c>
      <c r="R14" s="95" t="s">
        <v>65</v>
      </c>
    </row>
    <row r="15" spans="1:18" ht="24.95" customHeight="1" x14ac:dyDescent="0.25">
      <c r="A15" s="89" t="s">
        <v>54</v>
      </c>
      <c r="B15" s="89"/>
      <c r="C15" s="92">
        <v>5</v>
      </c>
      <c r="D15" s="92">
        <f>M12</f>
        <v>622485</v>
      </c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108">
        <f>D15</f>
        <v>622485</v>
      </c>
      <c r="P15" s="93"/>
      <c r="Q15" s="89">
        <v>2000000</v>
      </c>
      <c r="R15" s="95" t="s">
        <v>66</v>
      </c>
    </row>
    <row r="16" spans="1:18" ht="24.95" customHeight="1" x14ac:dyDescent="0.25">
      <c r="A16" s="89"/>
      <c r="B16" s="105">
        <v>46071</v>
      </c>
      <c r="C16" s="92">
        <v>7</v>
      </c>
      <c r="D16" s="92">
        <v>3888000</v>
      </c>
      <c r="E16" s="89"/>
      <c r="F16" s="89">
        <f>ROUND(D16-E16,2)</f>
        <v>3888000</v>
      </c>
      <c r="G16" s="89">
        <f>F16*$G$5</f>
        <v>699840</v>
      </c>
      <c r="H16" s="89">
        <f>ROUND(F16+G16,2)</f>
        <v>4587840</v>
      </c>
      <c r="I16" s="89">
        <f>ROUND((F16-P16)*$I$5,2)</f>
        <v>38880</v>
      </c>
      <c r="J16" s="89"/>
      <c r="K16" s="89"/>
      <c r="L16" s="89">
        <f>F16*$L$5</f>
        <v>388800</v>
      </c>
      <c r="M16" s="108">
        <f>G16</f>
        <v>699840</v>
      </c>
      <c r="N16" s="89">
        <f>F16*12%</f>
        <v>466560</v>
      </c>
      <c r="O16" s="89">
        <f>ROUND(H16-SUM(I16:N16),0)</f>
        <v>2993760</v>
      </c>
      <c r="P16" s="93"/>
      <c r="Q16" s="89">
        <v>2232496</v>
      </c>
      <c r="R16" s="95" t="s">
        <v>67</v>
      </c>
    </row>
    <row r="17" spans="1:18" ht="24.95" customHeight="1" x14ac:dyDescent="0.25">
      <c r="A17" s="89" t="s">
        <v>54</v>
      </c>
      <c r="B17" s="89"/>
      <c r="C17" s="92">
        <v>6</v>
      </c>
      <c r="D17" s="92">
        <f>M14</f>
        <v>989415</v>
      </c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108">
        <f>D17</f>
        <v>989415</v>
      </c>
      <c r="P17" s="93"/>
      <c r="Q17" s="83">
        <v>622486</v>
      </c>
      <c r="R17" s="114" t="s">
        <v>68</v>
      </c>
    </row>
    <row r="18" spans="1:18" ht="24.95" customHeight="1" x14ac:dyDescent="0.25">
      <c r="A18" s="89" t="s">
        <v>54</v>
      </c>
      <c r="B18" s="89"/>
      <c r="C18" s="92">
        <v>7</v>
      </c>
      <c r="D18" s="92">
        <f>M16</f>
        <v>699840</v>
      </c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108">
        <f>D18</f>
        <v>699840</v>
      </c>
      <c r="P18" s="93"/>
      <c r="Q18" s="83">
        <v>989416</v>
      </c>
      <c r="R18" s="114" t="s">
        <v>69</v>
      </c>
    </row>
    <row r="19" spans="1:18" ht="24.95" customHeight="1" x14ac:dyDescent="0.25">
      <c r="A19" s="89"/>
      <c r="B19" s="105">
        <v>46106</v>
      </c>
      <c r="C19" s="92">
        <v>8</v>
      </c>
      <c r="D19" s="92">
        <v>42350000</v>
      </c>
      <c r="E19" s="89"/>
      <c r="F19" s="89">
        <f>ROUND(D19-E19,2)</f>
        <v>42350000</v>
      </c>
      <c r="G19" s="89">
        <f>F19*$G$5</f>
        <v>7623000</v>
      </c>
      <c r="H19" s="89">
        <f>ROUND(F19+G19,2)</f>
        <v>49973000</v>
      </c>
      <c r="I19" s="89">
        <f>ROUND((F19-P19)*$I$5,2)</f>
        <v>423500</v>
      </c>
      <c r="J19" s="89"/>
      <c r="K19" s="89"/>
      <c r="L19" s="89">
        <f>F19*$L$5</f>
        <v>4235000</v>
      </c>
      <c r="M19" s="108">
        <f>G19</f>
        <v>7623000</v>
      </c>
      <c r="N19" s="89">
        <f>F19*12%</f>
        <v>5082000</v>
      </c>
      <c r="O19" s="89">
        <f>ROUND(H19-SUM(I19:N19),0)</f>
        <v>32609500</v>
      </c>
      <c r="P19" s="93"/>
      <c r="Q19" s="83">
        <v>2993759</v>
      </c>
      <c r="R19" s="114" t="s">
        <v>70</v>
      </c>
    </row>
    <row r="20" spans="1:18" ht="24.95" customHeight="1" x14ac:dyDescent="0.25">
      <c r="A20" s="89"/>
      <c r="B20" s="89"/>
      <c r="C20" s="92"/>
      <c r="D20" s="92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93"/>
      <c r="Q20" s="83">
        <v>699841</v>
      </c>
      <c r="R20" s="114" t="s">
        <v>71</v>
      </c>
    </row>
    <row r="21" spans="1:18" ht="24.95" customHeight="1" x14ac:dyDescent="0.25">
      <c r="A21" s="89"/>
      <c r="B21" s="89"/>
      <c r="C21" s="92"/>
      <c r="D21" s="92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93"/>
      <c r="Q21" s="83"/>
      <c r="R21" s="114"/>
    </row>
    <row r="22" spans="1:18" ht="24.95" customHeight="1" x14ac:dyDescent="0.25">
      <c r="A22" s="89"/>
      <c r="B22" s="89"/>
      <c r="C22" s="92"/>
      <c r="D22" s="92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93"/>
      <c r="Q22" s="109"/>
      <c r="R22" s="113"/>
    </row>
    <row r="23" spans="1:18" ht="24.95" customHeight="1" thickBot="1" x14ac:dyDescent="0.3">
      <c r="A23" s="89"/>
      <c r="B23" s="89"/>
      <c r="C23" s="92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</row>
    <row r="24" spans="1:18" ht="24.95" customHeight="1" x14ac:dyDescent="0.25">
      <c r="A24" s="90"/>
      <c r="B24" s="90"/>
      <c r="C24" s="102"/>
      <c r="D24" s="91">
        <f>SUM(D6:D23)</f>
        <v>63158078.640000001</v>
      </c>
      <c r="E24" s="91">
        <f>SUM(E6:E23)</f>
        <v>118555</v>
      </c>
      <c r="F24" s="91">
        <f>SUM(F6:F23)</f>
        <v>59902574</v>
      </c>
      <c r="G24" s="91">
        <f t="shared" ref="G24:I24" si="0">SUM(G6:G23)</f>
        <v>10782463.32</v>
      </c>
      <c r="H24" s="91">
        <f t="shared" si="0"/>
        <v>70685037.319999993</v>
      </c>
      <c r="I24" s="91">
        <f t="shared" si="0"/>
        <v>599025.74</v>
      </c>
      <c r="J24" s="91">
        <f>SUM(J6:J23)</f>
        <v>98900.7</v>
      </c>
      <c r="K24" s="91">
        <f t="shared" ref="K24:N24" si="1">SUM(K6:K23)</f>
        <v>98900.7</v>
      </c>
      <c r="L24" s="91">
        <f t="shared" si="1"/>
        <v>5792456</v>
      </c>
      <c r="M24" s="91">
        <f t="shared" si="1"/>
        <v>10782463.32</v>
      </c>
      <c r="N24" s="91">
        <f t="shared" si="1"/>
        <v>6950947.2000000002</v>
      </c>
      <c r="O24" s="91">
        <f>SUM(O6:O23)</f>
        <v>49499294.640000001</v>
      </c>
      <c r="P24" s="91"/>
      <c r="Q24" s="91">
        <f>SUM(Q6:Q23)</f>
        <v>16889793</v>
      </c>
      <c r="R24" s="91" t="s">
        <v>42</v>
      </c>
    </row>
    <row r="25" spans="1:18" ht="24.95" customHeight="1" thickBot="1" x14ac:dyDescent="0.3">
      <c r="A25" s="70"/>
      <c r="B25" s="70"/>
      <c r="C25" s="100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/>
      <c r="O25" s="70"/>
      <c r="P25" s="70"/>
      <c r="Q25" s="86">
        <f>O24-Q24</f>
        <v>32609501.640000001</v>
      </c>
      <c r="R25" s="86" t="s">
        <v>43</v>
      </c>
    </row>
    <row r="28" spans="1:18" ht="24.95" customHeight="1" x14ac:dyDescent="0.25">
      <c r="Q28" s="74"/>
    </row>
  </sheetData>
  <phoneticPr fontId="8" type="noConversion"/>
  <pageMargins left="0.7" right="0.7" top="0.75" bottom="0.75" header="0.3" footer="0.3"/>
  <pageSetup scale="2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 (2)</vt:lpstr>
      <vt:lpstr>67112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2023-09-11T12:14:35Z</cp:lastPrinted>
  <dcterms:created xsi:type="dcterms:W3CDTF">2022-06-10T14:11:52Z</dcterms:created>
  <dcterms:modified xsi:type="dcterms:W3CDTF">2026-03-28T10:06:51Z</dcterms:modified>
</cp:coreProperties>
</file>