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Downloads\Task\Task\Pankaj\Shree Shyam Construction\"/>
    </mc:Choice>
  </mc:AlternateContent>
  <xr:revisionPtr revIDLastSave="0" documentId="13_ncr:1_{751359CE-9EE9-4094-A15A-87C5CD54DC6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1" l="1"/>
  <c r="M23" i="1" s="1"/>
  <c r="J23" i="1" l="1"/>
  <c r="H23" i="1"/>
  <c r="N23" i="1" s="1"/>
  <c r="E24" i="1" s="1"/>
  <c r="P24" i="1" s="1"/>
  <c r="K23" i="1"/>
  <c r="L23" i="1"/>
  <c r="G20" i="1"/>
  <c r="G14" i="1"/>
  <c r="N14" i="1" s="1"/>
  <c r="E17" i="1" s="1"/>
  <c r="P17" i="1" s="1"/>
  <c r="N13" i="1"/>
  <c r="E16" i="1" s="1"/>
  <c r="P16" i="1" s="1"/>
  <c r="H13" i="1"/>
  <c r="I13" i="1" s="1"/>
  <c r="I23" i="1" l="1"/>
  <c r="P23" i="1" s="1"/>
  <c r="K20" i="1"/>
  <c r="J20" i="1"/>
  <c r="M14" i="1"/>
  <c r="L14" i="1"/>
  <c r="H14" i="1"/>
  <c r="I14" i="1" s="1"/>
  <c r="K14" i="1"/>
  <c r="J14" i="1"/>
  <c r="H20" i="1"/>
  <c r="N20" i="1" s="1"/>
  <c r="E22" i="1" s="1"/>
  <c r="P22" i="1" s="1"/>
  <c r="L20" i="1"/>
  <c r="M20" i="1"/>
  <c r="J13" i="1"/>
  <c r="M13" i="1"/>
  <c r="L13" i="1"/>
  <c r="K13" i="1"/>
  <c r="G19" i="1"/>
  <c r="T9" i="1"/>
  <c r="G10" i="1"/>
  <c r="M10" i="1" s="1"/>
  <c r="T8" i="1"/>
  <c r="G9" i="1"/>
  <c r="M9" i="1" s="1"/>
  <c r="G8" i="1"/>
  <c r="M8" i="1" s="1"/>
  <c r="P14" i="1" l="1"/>
  <c r="I20" i="1"/>
  <c r="P20" i="1" s="1"/>
  <c r="M19" i="1"/>
  <c r="J19" i="1"/>
  <c r="H19" i="1"/>
  <c r="N19" i="1" s="1"/>
  <c r="E21" i="1" s="1"/>
  <c r="P21" i="1" s="1"/>
  <c r="K19" i="1"/>
  <c r="L19" i="1"/>
  <c r="J8" i="1"/>
  <c r="J9" i="1"/>
  <c r="J10" i="1"/>
  <c r="H10" i="1"/>
  <c r="N10" i="1" s="1"/>
  <c r="E15" i="1" s="1"/>
  <c r="P15" i="1" s="1"/>
  <c r="K10" i="1"/>
  <c r="L10" i="1"/>
  <c r="H8" i="1"/>
  <c r="N8" i="1" s="1"/>
  <c r="E11" i="1" s="1"/>
  <c r="P11" i="1" s="1"/>
  <c r="K8" i="1"/>
  <c r="L8" i="1"/>
  <c r="H9" i="1"/>
  <c r="N9" i="1" s="1"/>
  <c r="K9" i="1"/>
  <c r="L9" i="1"/>
  <c r="N59" i="1"/>
  <c r="L57" i="1"/>
  <c r="N57" i="1" s="1"/>
  <c r="L56" i="1"/>
  <c r="N56" i="1" s="1"/>
  <c r="L55" i="1"/>
  <c r="N55" i="1" s="1"/>
  <c r="E61" i="1"/>
  <c r="L31" i="1" l="1"/>
  <c r="I19" i="1"/>
  <c r="P19" i="1" s="1"/>
  <c r="V27" i="1" s="1"/>
  <c r="I9" i="1"/>
  <c r="P9" i="1" s="1"/>
  <c r="I8" i="1"/>
  <c r="P8" i="1" s="1"/>
  <c r="I10" i="1"/>
  <c r="P10" i="1" s="1"/>
  <c r="N58" i="1"/>
  <c r="N60" i="1" s="1"/>
  <c r="V18" i="1" l="1"/>
  <c r="V29" i="1" s="1"/>
  <c r="O31" i="1"/>
  <c r="T29" i="1" l="1"/>
  <c r="P29" i="1" l="1"/>
  <c r="M31" i="1" l="1"/>
  <c r="K31" i="1"/>
  <c r="M39" i="1" l="1"/>
  <c r="N31" i="1"/>
  <c r="M42" i="1" s="1"/>
  <c r="T31" i="1" l="1"/>
  <c r="M40" i="1" s="1"/>
</calcChain>
</file>

<file path=xl/sharedStrings.xml><?xml version="1.0" encoding="utf-8"?>
<sst xmlns="http://schemas.openxmlformats.org/spreadsheetml/2006/main" count="92" uniqueCount="75">
  <si>
    <t>Amount</t>
  </si>
  <si>
    <t>PAYMENT NOTE No.</t>
  </si>
  <si>
    <t>UTR</t>
  </si>
  <si>
    <t>Pipeline Laying work</t>
  </si>
  <si>
    <t>Total Payable Amount Rs. -</t>
  </si>
  <si>
    <t>Hold Amount For Quantity excess against DPR</t>
  </si>
  <si>
    <t>ITEM</t>
  </si>
  <si>
    <t>DPR</t>
  </si>
  <si>
    <t>Qty as per updated  Dawing</t>
  </si>
  <si>
    <t>Dia</t>
  </si>
  <si>
    <t>Length</t>
  </si>
  <si>
    <t>Total</t>
  </si>
  <si>
    <t>CUM</t>
  </si>
  <si>
    <t>EXCESS</t>
  </si>
  <si>
    <t>RATE</t>
  </si>
  <si>
    <t>AMT</t>
  </si>
  <si>
    <t>90MM</t>
  </si>
  <si>
    <t>j HOOK</t>
  </si>
  <si>
    <t>BOE</t>
  </si>
  <si>
    <t>As per updated drawing</t>
  </si>
  <si>
    <t>As per old DPR</t>
  </si>
  <si>
    <t>hold amt</t>
  </si>
  <si>
    <t>prev hold</t>
  </si>
  <si>
    <t>to be hold</t>
  </si>
  <si>
    <t>Yousufpur Village Pipeline laying work</t>
  </si>
  <si>
    <t>22-09-2023 IFT/IFT23265052076/RIUP23/2220/SHRI SHYAM CONSTRU 199183.00</t>
  </si>
  <si>
    <t>12-09-2023 IFT/IFT23255016179/RIUP23/1935/SHRI SHYAM CONSTRU ₹ 2,18,266.00</t>
  </si>
  <si>
    <t>RIUP22/1935</t>
  </si>
  <si>
    <t>RIUP22/2220</t>
  </si>
  <si>
    <t>13-10-2023 IFT/IFT23286012047/RIUP23/2640a/SHRI SHYAM CONSTRU 198000.00</t>
  </si>
  <si>
    <t>RIUP23/2640</t>
  </si>
  <si>
    <t>Shree Shyam Construction</t>
  </si>
  <si>
    <t>Sahpat Village Pipeline laying work</t>
  </si>
  <si>
    <t>GST release note</t>
  </si>
  <si>
    <t>03-11-2023 IFT/IFT23307022771/RIUP23/2971/SHRI SHYAM CONSTRU ₹ 53,092.00</t>
  </si>
  <si>
    <t>09-11-2023 IFT/IFT23313075544/RIUP23/3199/SHRI SHYAM CONSTRU 49500.00</t>
  </si>
  <si>
    <t>24-11-2023 IFT/IFT23328067586/RIUP23/3358/SHRI SHYAM CONSTRU 48450.00</t>
  </si>
  <si>
    <t xml:space="preserve">18-12-2023 IFT/IFT23352037913/RIUP23/3815/SHRI SHYAM CONSTRU 24156.00
</t>
  </si>
  <si>
    <t>18-12-2023 IFT/IFT23352037912/RIUP23/3779/SHRI SHYAM CONSTRU 41622.00</t>
  </si>
  <si>
    <t>04-01-2024 IFT/IFT24004052742/RIUP23/4103/SHRI SHYAM CONSTRU 40507.00</t>
  </si>
  <si>
    <t>18-12-2023 IFT/IFT23352037914/RIUP23/3814/SHRI SHYAM CONSTRU 67231.00</t>
  </si>
  <si>
    <t>07-11-2023 IFT/IFT23311113725/RIUP23/3100/SHRI SHYAM CONSTRU 235948.00</t>
  </si>
  <si>
    <t>09-01-2024 IFT/IFT24009037578/RIUP23/4074/SHRI SHYAM CONSTRU 3210.00</t>
  </si>
  <si>
    <t>Advance Village Wise</t>
  </si>
  <si>
    <t>Updated On 01-02-2024</t>
  </si>
  <si>
    <t xml:space="preserve">Total Hold </t>
  </si>
  <si>
    <t>Advance / Surplus</t>
  </si>
  <si>
    <t>Debit</t>
  </si>
  <si>
    <t>GST Remaining</t>
  </si>
  <si>
    <t>02-02-2024 IFT/IFT24033021062/RIUP23/4376/SHRI SHYAM CONSTRU 9584.00</t>
  </si>
  <si>
    <t>22-03-2024 IFT/IFT24082070380/RIUP23/5089/SHRI SHYAM CONSTRU 250864.00</t>
  </si>
  <si>
    <t>06-04-2024 IFT/IFT24097097244/RIUP23/5311/SHRI SHYAM CONSTRU 66093.00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</si>
  <si>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</si>
  <si>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</si>
  <si>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</si>
  <si>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</si>
  <si>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</si>
  <si>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</si>
  <si>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</si>
  <si>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</si>
  <si>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</si>
  <si>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</si>
  <si>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</si>
  <si>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</si>
  <si>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</si>
  <si>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</si>
  <si>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</si>
  <si>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</si>
  <si>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</si>
  <si>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Uttar Pradesh</t>
  </si>
  <si>
    <t>Muzaffarnagar</t>
  </si>
  <si>
    <t>Subcontractor:</t>
  </si>
  <si>
    <t>State:</t>
  </si>
  <si>
    <t>District:</t>
  </si>
  <si>
    <t>Block: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</si>
</sst>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6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5" fontId="7" fillId="2" borderId="8" xfId="0" applyNumberFormat="1" applyFont="1" applyFill="1" applyBorder="1" applyAlignment="1">
      <alignment horizontal="center" vertical="center"/>
    </xf>
    <xf numFmtId="43" fontId="7" fillId="2" borderId="4" xfId="1" applyNumberFormat="1" applyFont="1" applyFill="1" applyBorder="1" applyAlignment="1">
      <alignment vertical="center"/>
    </xf>
    <xf numFmtId="0" fontId="7" fillId="2" borderId="9" xfId="0" applyFont="1" applyFill="1" applyBorder="1" applyAlignment="1">
      <alignment horizontal="center" vertical="center"/>
    </xf>
    <xf numFmtId="43" fontId="7" fillId="2" borderId="9" xfId="1" applyNumberFormat="1" applyFont="1" applyFill="1" applyBorder="1" applyAlignment="1">
      <alignment vertical="center"/>
    </xf>
    <xf numFmtId="43" fontId="7" fillId="2" borderId="2" xfId="1" applyNumberFormat="1" applyFont="1" applyFill="1" applyBorder="1" applyAlignment="1">
      <alignment vertical="center"/>
    </xf>
    <xf numFmtId="43" fontId="8" fillId="2" borderId="2" xfId="1" applyNumberFormat="1" applyFont="1" applyFill="1" applyBorder="1" applyAlignment="1">
      <alignment vertical="center"/>
    </xf>
    <xf numFmtId="43" fontId="8" fillId="2" borderId="4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6" xfId="0" applyFill="1" applyBorder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10" fillId="2" borderId="0" xfId="0" applyFont="1" applyFill="1" applyAlignment="1">
      <alignment horizontal="right" vertical="center"/>
    </xf>
    <xf numFmtId="43" fontId="0" fillId="2" borderId="6" xfId="1" applyNumberFormat="1" applyFont="1" applyFill="1" applyBorder="1" applyAlignment="1">
      <alignment horizontal="center" vertical="center"/>
    </xf>
    <xf numFmtId="43" fontId="0" fillId="2" borderId="6" xfId="0" applyNumberForma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11" fillId="2" borderId="0" xfId="0" applyFont="1" applyFill="1" applyAlignment="1">
      <alignment vertical="center"/>
    </xf>
    <xf numFmtId="43" fontId="11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165" fontId="8" fillId="2" borderId="2" xfId="1" applyNumberFormat="1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43" fontId="3" fillId="2" borderId="16" xfId="1" applyNumberFormat="1" applyFont="1" applyFill="1" applyBorder="1" applyAlignment="1">
      <alignment vertical="center"/>
    </xf>
    <xf numFmtId="9" fontId="3" fillId="2" borderId="16" xfId="1" applyNumberFormat="1" applyFont="1" applyFill="1" applyBorder="1" applyAlignment="1">
      <alignment vertical="center"/>
    </xf>
    <xf numFmtId="43" fontId="7" fillId="2" borderId="16" xfId="1" applyNumberFormat="1" applyFont="1" applyFill="1" applyBorder="1" applyAlignment="1">
      <alignment vertical="center"/>
    </xf>
    <xf numFmtId="9" fontId="7" fillId="2" borderId="1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43" fontId="7" fillId="3" borderId="8" xfId="1" applyNumberFormat="1" applyFont="1" applyFill="1" applyBorder="1" applyAlignment="1">
      <alignment vertical="center"/>
    </xf>
    <xf numFmtId="9" fontId="7" fillId="3" borderId="8" xfId="1" applyNumberFormat="1" applyFont="1" applyFill="1" applyBorder="1" applyAlignment="1">
      <alignment vertic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43" fontId="7" fillId="2" borderId="8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15" fontId="3" fillId="2" borderId="8" xfId="0" applyNumberFormat="1" applyFont="1" applyFill="1" applyBorder="1" applyAlignment="1">
      <alignment horizontal="center" vertical="center"/>
    </xf>
    <xf numFmtId="15" fontId="3" fillId="3" borderId="8" xfId="0" applyNumberFormat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0" fillId="2" borderId="9" xfId="0" applyFill="1" applyBorder="1" applyAlignment="1">
      <alignment vertical="center"/>
    </xf>
    <xf numFmtId="43" fontId="7" fillId="2" borderId="17" xfId="1" applyNumberFormat="1" applyFont="1" applyFill="1" applyBorder="1" applyAlignment="1">
      <alignment vertical="center"/>
    </xf>
    <xf numFmtId="43" fontId="7" fillId="3" borderId="3" xfId="1" applyNumberFormat="1" applyFont="1" applyFill="1" applyBorder="1" applyAlignment="1">
      <alignment vertical="center"/>
    </xf>
    <xf numFmtId="0" fontId="9" fillId="0" borderId="3" xfId="0" applyFont="1" applyBorder="1" applyAlignment="1">
      <alignment vertical="center"/>
    </xf>
    <xf numFmtId="0" fontId="0" fillId="2" borderId="3" xfId="0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43" fontId="7" fillId="2" borderId="18" xfId="1" applyNumberFormat="1" applyFon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43" fontId="0" fillId="2" borderId="8" xfId="0" applyNumberFormat="1" applyFill="1" applyBorder="1" applyAlignment="1">
      <alignment vertical="center"/>
    </xf>
    <xf numFmtId="0" fontId="12" fillId="2" borderId="8" xfId="0" applyFont="1" applyFill="1" applyBorder="1" applyAlignment="1">
      <alignment vertical="center"/>
    </xf>
    <xf numFmtId="4" fontId="12" fillId="2" borderId="8" xfId="0" applyNumberFormat="1" applyFont="1" applyFill="1" applyBorder="1" applyAlignment="1">
      <alignment vertical="center"/>
    </xf>
    <xf numFmtId="4" fontId="12" fillId="2" borderId="9" xfId="0" applyNumberFormat="1" applyFont="1" applyFill="1" applyBorder="1" applyAlignment="1">
      <alignment horizontal="right" vertical="center"/>
    </xf>
    <xf numFmtId="0" fontId="7" fillId="2" borderId="21" xfId="0" applyFont="1" applyFill="1" applyBorder="1" applyAlignment="1">
      <alignment horizontal="center" vertical="center" wrapText="1"/>
    </xf>
    <xf numFmtId="15" fontId="3" fillId="2" borderId="21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43" fontId="7" fillId="2" borderId="21" xfId="1" applyNumberFormat="1" applyFont="1" applyFill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0" fillId="2" borderId="6" xfId="0" applyFill="1" applyBorder="1" applyAlignment="1">
      <alignment horizontal="center" vertical="center"/>
    </xf>
    <xf numFmtId="0" fontId="9" fillId="2" borderId="12" xfId="0" applyFont="1" applyFill="1" applyBorder="1" applyAlignment="1">
      <alignment horizontal="right" vertical="center"/>
    </xf>
    <xf numFmtId="0" fontId="9" fillId="2" borderId="13" xfId="0" applyFont="1" applyFill="1" applyBorder="1" applyAlignment="1">
      <alignment horizontal="right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43" fontId="12" fillId="2" borderId="17" xfId="1" applyNumberFormat="1" applyFont="1" applyFill="1" applyBorder="1" applyAlignment="1">
      <alignment horizontal="center" vertical="center"/>
    </xf>
    <xf numFmtId="43" fontId="12" fillId="2" borderId="19" xfId="1" applyNumberFormat="1" applyFont="1" applyFill="1" applyBorder="1" applyAlignment="1">
      <alignment horizontal="center" vertical="center"/>
    </xf>
    <xf numFmtId="43" fontId="12" fillId="2" borderId="20" xfId="1" applyNumberFormat="1" applyFont="1" applyFill="1" applyBorder="1" applyAlignment="1">
      <alignment horizontal="center" vertical="center"/>
    </xf>
    <xf numFmtId="43" fontId="12" fillId="2" borderId="3" xfId="1" applyNumberFormat="1" applyFont="1" applyFill="1" applyBorder="1" applyAlignment="1">
      <alignment horizontal="center" vertical="center"/>
    </xf>
    <xf numFmtId="43" fontId="12" fillId="2" borderId="10" xfId="1" applyNumberFormat="1" applyFont="1" applyFill="1" applyBorder="1" applyAlignment="1">
      <alignment horizontal="center" vertical="center"/>
    </xf>
    <xf numFmtId="43" fontId="12" fillId="2" borderId="7" xfId="1" applyNumberFormat="1" applyFont="1" applyFill="1" applyBorder="1" applyAlignment="1">
      <alignment horizontal="center" vertical="center"/>
    </xf>
    <xf numFmtId="43" fontId="12" fillId="2" borderId="11" xfId="1" applyNumberFormat="1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vertical="center"/>
    </xf>
    <xf numFmtId="0" fontId="6" fillId="2" borderId="16" xfId="0" applyFont="1" applyFill="1" applyBorder="1" applyAlignment="1">
      <alignment horizontal="center" vertical="center" wrapText="1"/>
    </xf>
    <xf numFmtId="14" fontId="6" fillId="2" borderId="16" xfId="0" applyNumberFormat="1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164" fontId="14" fillId="2" borderId="16" xfId="1" applyFont="1" applyFill="1" applyBorder="1" applyAlignment="1">
      <alignment horizontal="center" vertical="center"/>
    </xf>
    <xf numFmtId="164" fontId="6" fillId="2" borderId="16" xfId="1" applyFont="1" applyFill="1" applyBorder="1" applyAlignment="1">
      <alignment horizontal="center" vertical="center"/>
    </xf>
    <xf numFmtId="0" fontId="6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1"/>
  <sheetViews>
    <sheetView tabSelected="1" workbookViewId="0">
      <selection sqref="A1:A4"/>
    </sheetView>
  </sheetViews>
  <sheetFormatPr defaultColWidth="9" defaultRowHeight="24.95" customHeight="1" x14ac:dyDescent="0.25"/>
  <cols>
    <col min="1" max="1" width="9" style="2"/>
    <col min="2" max="2" width="30" style="2" customWidth="1"/>
    <col min="3" max="3" width="13.5703125" style="2" bestFit="1" customWidth="1"/>
    <col min="4" max="4" width="10.42578125" style="2" customWidth="1"/>
    <col min="5" max="5" width="14.140625" style="2" bestFit="1" customWidth="1"/>
    <col min="6" max="6" width="13.28515625" style="2" customWidth="1"/>
    <col min="7" max="7" width="15.5703125" style="2" bestFit="1" customWidth="1"/>
    <col min="8" max="8" width="14.7109375" style="11" customWidth="1"/>
    <col min="9" max="9" width="12.85546875" style="11" bestFit="1" customWidth="1"/>
    <col min="10" max="10" width="10" style="2" bestFit="1" customWidth="1"/>
    <col min="11" max="11" width="10.85546875" style="2" bestFit="1" customWidth="1"/>
    <col min="12" max="12" width="11.85546875" style="2" bestFit="1" customWidth="1"/>
    <col min="13" max="13" width="14.42578125" style="2" customWidth="1"/>
    <col min="14" max="14" width="12.85546875" style="2" bestFit="1" customWidth="1"/>
    <col min="15" max="15" width="14.85546875" style="2" customWidth="1"/>
    <col min="16" max="16" width="20.140625" style="2" bestFit="1" customWidth="1"/>
    <col min="17" max="17" width="21.7109375" style="2" bestFit="1" customWidth="1"/>
    <col min="18" max="18" width="13" style="2" bestFit="1" customWidth="1"/>
    <col min="19" max="19" width="14.5703125" style="2" bestFit="1" customWidth="1"/>
    <col min="20" max="20" width="18.85546875" style="2" bestFit="1" customWidth="1"/>
    <col min="21" max="21" width="76.7109375" style="2" customWidth="1"/>
    <col min="22" max="22" width="12.85546875" style="2" customWidth="1"/>
    <col min="23" max="16384" width="9" style="2"/>
  </cols>
  <sheetData>
    <row r="1" spans="1:22" ht="24.95" customHeight="1" x14ac:dyDescent="0.25">
      <c r="A1" s="85" t="s">
        <v>71</v>
      </c>
      <c r="B1" s="1" t="s">
        <v>31</v>
      </c>
      <c r="E1" s="3"/>
      <c r="F1" s="3"/>
      <c r="G1" s="3"/>
      <c r="H1" s="4"/>
      <c r="I1" s="4"/>
    </row>
    <row r="2" spans="1:22" ht="24.95" customHeight="1" x14ac:dyDescent="0.25">
      <c r="A2" s="85" t="s">
        <v>72</v>
      </c>
      <c r="B2" t="s">
        <v>69</v>
      </c>
      <c r="C2" s="5"/>
      <c r="D2" s="5"/>
      <c r="H2" s="12" t="s">
        <v>3</v>
      </c>
      <c r="I2" s="6"/>
      <c r="J2" s="7"/>
      <c r="K2" s="7"/>
      <c r="L2" s="7"/>
      <c r="M2" s="7"/>
      <c r="N2" s="7"/>
      <c r="O2" s="7"/>
      <c r="P2" s="7"/>
      <c r="Q2" s="7"/>
      <c r="R2" s="7"/>
      <c r="S2" s="7"/>
    </row>
    <row r="3" spans="1:22" ht="24.95" customHeight="1" thickBot="1" x14ac:dyDescent="0.3">
      <c r="A3" s="85" t="s">
        <v>73</v>
      </c>
      <c r="B3" t="s">
        <v>70</v>
      </c>
      <c r="C3" s="5"/>
      <c r="D3" s="5"/>
      <c r="H3" s="12"/>
      <c r="I3" s="6"/>
      <c r="J3" s="7"/>
      <c r="K3" s="7"/>
      <c r="L3" s="7"/>
      <c r="M3" s="7"/>
      <c r="N3" s="7"/>
      <c r="O3" s="7"/>
      <c r="P3" s="7"/>
      <c r="Q3" s="7"/>
      <c r="R3" s="7"/>
      <c r="S3" s="7"/>
    </row>
    <row r="4" spans="1:22" ht="24.95" customHeight="1" thickBot="1" x14ac:dyDescent="0.3">
      <c r="A4" s="85" t="s">
        <v>74</v>
      </c>
      <c r="B4" t="s">
        <v>70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Q4" s="7"/>
      <c r="R4" s="10"/>
      <c r="S4" s="10"/>
      <c r="T4" s="10"/>
      <c r="U4" s="10"/>
    </row>
    <row r="5" spans="1:22" ht="24.95" customHeight="1" thickBot="1" x14ac:dyDescent="0.3">
      <c r="A5" s="79" t="s">
        <v>52</v>
      </c>
      <c r="B5" s="80" t="s">
        <v>53</v>
      </c>
      <c r="C5" s="81" t="s">
        <v>54</v>
      </c>
      <c r="D5" s="82" t="s">
        <v>55</v>
      </c>
      <c r="E5" s="80" t="s">
        <v>56</v>
      </c>
      <c r="F5" s="80" t="s">
        <v>57</v>
      </c>
      <c r="G5" s="82" t="s">
        <v>58</v>
      </c>
      <c r="H5" s="83" t="s">
        <v>59</v>
      </c>
      <c r="I5" s="84" t="s">
        <v>0</v>
      </c>
      <c r="J5" s="80" t="s">
        <v>60</v>
      </c>
      <c r="K5" s="80" t="s">
        <v>61</v>
      </c>
      <c r="L5" s="80" t="s">
        <v>62</v>
      </c>
      <c r="M5" s="80" t="s">
        <v>63</v>
      </c>
      <c r="N5" s="80" t="s">
        <v>64</v>
      </c>
      <c r="O5" s="33" t="s">
        <v>5</v>
      </c>
      <c r="P5" s="33" t="s">
        <v>65</v>
      </c>
      <c r="Q5" s="32" t="s">
        <v>1</v>
      </c>
      <c r="R5" s="80" t="s">
        <v>66</v>
      </c>
      <c r="S5" s="80" t="s">
        <v>67</v>
      </c>
      <c r="T5" s="80" t="s">
        <v>68</v>
      </c>
      <c r="U5" s="80" t="s">
        <v>2</v>
      </c>
      <c r="V5" s="70" t="s">
        <v>43</v>
      </c>
    </row>
    <row r="6" spans="1:22" ht="24.95" customHeight="1" x14ac:dyDescent="0.25">
      <c r="B6" s="34"/>
      <c r="C6" s="34"/>
      <c r="D6" s="34"/>
      <c r="E6" s="34"/>
      <c r="F6" s="34"/>
      <c r="G6" s="34"/>
      <c r="H6" s="34"/>
      <c r="I6" s="34"/>
      <c r="J6" s="35">
        <v>0.01</v>
      </c>
      <c r="K6" s="35">
        <v>0.05</v>
      </c>
      <c r="L6" s="35">
        <v>0.1</v>
      </c>
      <c r="M6" s="35">
        <v>0.1</v>
      </c>
      <c r="N6" s="34"/>
      <c r="O6" s="34"/>
      <c r="P6" s="34"/>
      <c r="Q6" s="36"/>
      <c r="R6" s="36"/>
      <c r="S6" s="37">
        <v>0.01</v>
      </c>
      <c r="T6" s="36"/>
      <c r="U6" s="49"/>
      <c r="V6" s="71"/>
    </row>
    <row r="7" spans="1:22" s="29" customFormat="1" ht="24.95" customHeight="1" x14ac:dyDescent="0.25">
      <c r="B7" s="30"/>
      <c r="C7" s="30"/>
      <c r="D7" s="30"/>
      <c r="E7" s="30"/>
      <c r="F7" s="30"/>
      <c r="G7" s="30"/>
      <c r="H7" s="30"/>
      <c r="I7" s="30"/>
      <c r="J7" s="38"/>
      <c r="K7" s="38"/>
      <c r="L7" s="38"/>
      <c r="M7" s="38"/>
      <c r="N7" s="30"/>
      <c r="O7" s="30"/>
      <c r="P7" s="30"/>
      <c r="Q7" s="39"/>
      <c r="R7" s="39"/>
      <c r="S7" s="40"/>
      <c r="T7" s="39"/>
      <c r="U7" s="50"/>
      <c r="V7" s="56"/>
    </row>
    <row r="8" spans="1:22" ht="24.95" customHeight="1" x14ac:dyDescent="0.25">
      <c r="A8" s="2">
        <v>59129</v>
      </c>
      <c r="B8" s="41" t="s">
        <v>24</v>
      </c>
      <c r="C8" s="13">
        <v>45168</v>
      </c>
      <c r="D8" s="42">
        <v>5</v>
      </c>
      <c r="E8" s="43">
        <v>294956</v>
      </c>
      <c r="F8" s="43">
        <v>0</v>
      </c>
      <c r="G8" s="43">
        <f>ROUND(E8-F8,)</f>
        <v>294956</v>
      </c>
      <c r="H8" s="43">
        <f>ROUND(G8*18%,)</f>
        <v>53092</v>
      </c>
      <c r="I8" s="43">
        <f>G8+H8</f>
        <v>348048</v>
      </c>
      <c r="J8" s="43">
        <f>G8*J6</f>
        <v>2949.56</v>
      </c>
      <c r="K8" s="43">
        <f>ROUND(G8*5%,)</f>
        <v>14748</v>
      </c>
      <c r="L8" s="43">
        <f t="shared" ref="L8:L9" si="0">ROUND(G8*10%,)</f>
        <v>29496</v>
      </c>
      <c r="M8" s="43">
        <f>ROUND(G8*10%,)</f>
        <v>29496</v>
      </c>
      <c r="N8" s="43">
        <f>H8</f>
        <v>53092</v>
      </c>
      <c r="O8" s="43">
        <v>0</v>
      </c>
      <c r="P8" s="43">
        <f>ROUND(I8-SUM(J8:O8),)</f>
        <v>218266</v>
      </c>
      <c r="Q8" s="43" t="s">
        <v>27</v>
      </c>
      <c r="R8" s="43">
        <v>218267</v>
      </c>
      <c r="S8" s="43">
        <v>0</v>
      </c>
      <c r="T8" s="43">
        <f>R8-S8</f>
        <v>218267</v>
      </c>
      <c r="U8" s="51" t="s">
        <v>26</v>
      </c>
      <c r="V8" s="44"/>
    </row>
    <row r="9" spans="1:22" ht="24.95" customHeight="1" x14ac:dyDescent="0.25">
      <c r="A9" s="2">
        <v>59129</v>
      </c>
      <c r="B9" s="41" t="s">
        <v>24</v>
      </c>
      <c r="C9" s="13">
        <v>45189</v>
      </c>
      <c r="D9" s="42">
        <v>6</v>
      </c>
      <c r="E9" s="43">
        <v>269168</v>
      </c>
      <c r="F9" s="43">
        <v>0</v>
      </c>
      <c r="G9" s="43">
        <f>ROUND(E9-F9,)</f>
        <v>269168</v>
      </c>
      <c r="H9" s="43">
        <f>ROUND(G9*18%,)</f>
        <v>48450</v>
      </c>
      <c r="I9" s="43">
        <f>G9+H9</f>
        <v>317618</v>
      </c>
      <c r="J9" s="43">
        <f>G9*J6</f>
        <v>2691.68</v>
      </c>
      <c r="K9" s="43">
        <f>ROUND(G9*5%,)</f>
        <v>13458</v>
      </c>
      <c r="L9" s="43">
        <f t="shared" si="0"/>
        <v>26917</v>
      </c>
      <c r="M9" s="43">
        <f>ROUND(G9*10%,)</f>
        <v>26917</v>
      </c>
      <c r="N9" s="43">
        <f>H9</f>
        <v>48450</v>
      </c>
      <c r="O9" s="43">
        <v>0</v>
      </c>
      <c r="P9" s="43">
        <f>ROUND(I9-SUM(J9:O9),)</f>
        <v>199184</v>
      </c>
      <c r="Q9" s="43" t="s">
        <v>28</v>
      </c>
      <c r="R9" s="43">
        <v>199183</v>
      </c>
      <c r="S9" s="43">
        <v>0</v>
      </c>
      <c r="T9" s="43">
        <f>R9-S9</f>
        <v>199183</v>
      </c>
      <c r="U9" s="51" t="s">
        <v>25</v>
      </c>
      <c r="V9" s="44"/>
    </row>
    <row r="10" spans="1:22" ht="24.95" customHeight="1" x14ac:dyDescent="0.25">
      <c r="A10" s="2">
        <v>59129</v>
      </c>
      <c r="B10" s="41" t="s">
        <v>24</v>
      </c>
      <c r="C10" s="13">
        <v>45211</v>
      </c>
      <c r="D10" s="42">
        <v>7</v>
      </c>
      <c r="E10" s="43">
        <v>231234</v>
      </c>
      <c r="F10" s="43">
        <v>0</v>
      </c>
      <c r="G10" s="43">
        <f>ROUND(E10-F10,)</f>
        <v>231234</v>
      </c>
      <c r="H10" s="43">
        <f>ROUND(G10*18%,)</f>
        <v>41622</v>
      </c>
      <c r="I10" s="43">
        <f>G10+H10</f>
        <v>272856</v>
      </c>
      <c r="J10" s="43">
        <f>G10*J6</f>
        <v>2312.34</v>
      </c>
      <c r="K10" s="43">
        <f>ROUND(G10*5%,)</f>
        <v>11562</v>
      </c>
      <c r="L10" s="43">
        <f t="shared" ref="L10" si="1">ROUND(G10*10%,)</f>
        <v>23123</v>
      </c>
      <c r="M10" s="43">
        <f>ROUND(G10*10%,)</f>
        <v>23123</v>
      </c>
      <c r="N10" s="43">
        <f>H10</f>
        <v>41622</v>
      </c>
      <c r="O10" s="43">
        <v>59115</v>
      </c>
      <c r="P10" s="43">
        <f>ROUND(I10-SUM(J10:O10),)</f>
        <v>111999</v>
      </c>
      <c r="Q10" s="43" t="s">
        <v>30</v>
      </c>
      <c r="R10" s="43">
        <v>198000</v>
      </c>
      <c r="S10" s="43"/>
      <c r="T10" s="43">
        <v>198000</v>
      </c>
      <c r="U10" s="51" t="s">
        <v>29</v>
      </c>
      <c r="V10" s="44"/>
    </row>
    <row r="11" spans="1:22" ht="24.95" customHeight="1" x14ac:dyDescent="0.25">
      <c r="A11" s="2">
        <v>59129</v>
      </c>
      <c r="B11" s="41" t="s">
        <v>33</v>
      </c>
      <c r="C11" s="13">
        <v>45168</v>
      </c>
      <c r="D11" s="42">
        <v>5</v>
      </c>
      <c r="E11" s="43">
        <f>N8</f>
        <v>53092</v>
      </c>
      <c r="F11" s="43">
        <v>0</v>
      </c>
      <c r="G11" s="43">
        <v>0</v>
      </c>
      <c r="H11" s="43">
        <v>0</v>
      </c>
      <c r="I11" s="43">
        <v>0</v>
      </c>
      <c r="J11" s="43">
        <v>0</v>
      </c>
      <c r="K11" s="43">
        <v>0</v>
      </c>
      <c r="L11" s="43">
        <v>0</v>
      </c>
      <c r="M11" s="43">
        <v>0</v>
      </c>
      <c r="N11" s="43">
        <v>0</v>
      </c>
      <c r="O11" s="43">
        <v>0</v>
      </c>
      <c r="P11" s="43">
        <f>E11</f>
        <v>53092</v>
      </c>
      <c r="Q11" s="43"/>
      <c r="R11" s="43"/>
      <c r="S11" s="43"/>
      <c r="T11" s="43">
        <v>53092</v>
      </c>
      <c r="U11" s="51" t="s">
        <v>34</v>
      </c>
      <c r="V11" s="44"/>
    </row>
    <row r="12" spans="1:22" ht="24.95" customHeight="1" x14ac:dyDescent="0.25">
      <c r="A12" s="2">
        <v>59129</v>
      </c>
      <c r="B12" s="41" t="s">
        <v>33</v>
      </c>
      <c r="C12" s="13">
        <v>45189</v>
      </c>
      <c r="D12" s="42">
        <v>6</v>
      </c>
      <c r="E12" s="43">
        <v>48450</v>
      </c>
      <c r="F12" s="43">
        <v>0</v>
      </c>
      <c r="G12" s="43">
        <v>0</v>
      </c>
      <c r="H12" s="43">
        <v>0</v>
      </c>
      <c r="I12" s="43">
        <v>0</v>
      </c>
      <c r="J12" s="43">
        <v>0</v>
      </c>
      <c r="K12" s="43">
        <v>0</v>
      </c>
      <c r="L12" s="43">
        <v>0</v>
      </c>
      <c r="M12" s="43">
        <v>0</v>
      </c>
      <c r="N12" s="43">
        <v>0</v>
      </c>
      <c r="O12" s="43">
        <v>0</v>
      </c>
      <c r="P12" s="43">
        <v>48450</v>
      </c>
      <c r="Q12" s="43"/>
      <c r="R12" s="43"/>
      <c r="S12" s="43"/>
      <c r="T12" s="43">
        <v>49500</v>
      </c>
      <c r="U12" s="51" t="s">
        <v>35</v>
      </c>
      <c r="V12" s="44"/>
    </row>
    <row r="13" spans="1:22" ht="24.95" customHeight="1" x14ac:dyDescent="0.25">
      <c r="A13" s="2">
        <v>59129</v>
      </c>
      <c r="B13" s="41" t="s">
        <v>24</v>
      </c>
      <c r="C13" s="13">
        <v>45238</v>
      </c>
      <c r="D13" s="42">
        <v>9</v>
      </c>
      <c r="E13" s="43">
        <v>134200</v>
      </c>
      <c r="F13" s="43">
        <v>0</v>
      </c>
      <c r="G13" s="43">
        <v>134200</v>
      </c>
      <c r="H13" s="43">
        <f>G13*18%</f>
        <v>24156</v>
      </c>
      <c r="I13" s="43">
        <f>G13+H13</f>
        <v>158356</v>
      </c>
      <c r="J13" s="43">
        <f>I13*1%</f>
        <v>1583.56</v>
      </c>
      <c r="K13" s="43">
        <f>I13*5%</f>
        <v>7917.8</v>
      </c>
      <c r="L13" s="43">
        <f>I13*10%</f>
        <v>15835.6</v>
      </c>
      <c r="M13" s="43">
        <f>I13*10%</f>
        <v>15835.6</v>
      </c>
      <c r="N13" s="43">
        <f>G13*18%</f>
        <v>24156</v>
      </c>
      <c r="O13" s="43">
        <v>24156</v>
      </c>
      <c r="P13" s="43">
        <v>99308</v>
      </c>
      <c r="Q13" s="43"/>
      <c r="R13" s="43"/>
      <c r="S13" s="43"/>
      <c r="T13" s="43">
        <v>48450</v>
      </c>
      <c r="U13" s="51" t="s">
        <v>36</v>
      </c>
      <c r="V13" s="44"/>
    </row>
    <row r="14" spans="1:22" ht="24.95" customHeight="1" x14ac:dyDescent="0.25">
      <c r="A14" s="2">
        <v>59129</v>
      </c>
      <c r="B14" s="41" t="s">
        <v>24</v>
      </c>
      <c r="C14" s="13">
        <v>45274</v>
      </c>
      <c r="D14" s="42">
        <v>10</v>
      </c>
      <c r="E14" s="43">
        <v>57750</v>
      </c>
      <c r="F14" s="43">
        <v>4504</v>
      </c>
      <c r="G14" s="43">
        <f>E14-F14</f>
        <v>53246</v>
      </c>
      <c r="H14" s="43">
        <f>G14*18%</f>
        <v>9584.2799999999988</v>
      </c>
      <c r="I14" s="43">
        <f>G14+H14</f>
        <v>62830.28</v>
      </c>
      <c r="J14" s="43">
        <f>G14*1%</f>
        <v>532.46</v>
      </c>
      <c r="K14" s="43">
        <f>G14*5%</f>
        <v>2662.3</v>
      </c>
      <c r="L14" s="43">
        <f>G14*10%</f>
        <v>5324.6</v>
      </c>
      <c r="M14" s="43">
        <f>G14*10%</f>
        <v>5324.6</v>
      </c>
      <c r="N14" s="43">
        <f>G14*18%</f>
        <v>9584.2799999999988</v>
      </c>
      <c r="O14" s="43">
        <v>0</v>
      </c>
      <c r="P14" s="43">
        <f>ROUND(I14-SUM(J14:O14),)</f>
        <v>39402</v>
      </c>
      <c r="Q14" s="43"/>
      <c r="R14" s="43"/>
      <c r="S14" s="43"/>
      <c r="T14" s="43">
        <v>24156</v>
      </c>
      <c r="U14" s="51" t="s">
        <v>37</v>
      </c>
      <c r="V14" s="44"/>
    </row>
    <row r="15" spans="1:22" ht="24.95" customHeight="1" x14ac:dyDescent="0.25">
      <c r="A15" s="2">
        <v>59129</v>
      </c>
      <c r="B15" s="41" t="s">
        <v>33</v>
      </c>
      <c r="C15" s="13"/>
      <c r="D15" s="42">
        <v>7</v>
      </c>
      <c r="E15" s="43">
        <f>N10</f>
        <v>41622</v>
      </c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>
        <f>E15</f>
        <v>41622</v>
      </c>
      <c r="Q15" s="43"/>
      <c r="R15" s="43"/>
      <c r="S15" s="43"/>
      <c r="T15" s="43">
        <v>41622</v>
      </c>
      <c r="U15" s="51" t="s">
        <v>38</v>
      </c>
      <c r="V15" s="44"/>
    </row>
    <row r="16" spans="1:22" ht="24.95" customHeight="1" x14ac:dyDescent="0.25">
      <c r="A16" s="2">
        <v>59129</v>
      </c>
      <c r="B16" s="41" t="s">
        <v>33</v>
      </c>
      <c r="C16" s="13"/>
      <c r="D16" s="42">
        <v>9</v>
      </c>
      <c r="E16" s="43">
        <f>N13</f>
        <v>24156</v>
      </c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>
        <f>E16</f>
        <v>24156</v>
      </c>
      <c r="Q16" s="43"/>
      <c r="R16" s="43"/>
      <c r="S16" s="43"/>
      <c r="T16" s="43">
        <v>3210</v>
      </c>
      <c r="U16" s="51" t="s">
        <v>42</v>
      </c>
      <c r="V16" s="44"/>
    </row>
    <row r="17" spans="1:22" ht="24.95" customHeight="1" x14ac:dyDescent="0.25">
      <c r="A17" s="2">
        <v>59129</v>
      </c>
      <c r="B17" s="41" t="s">
        <v>33</v>
      </c>
      <c r="C17" s="13"/>
      <c r="D17" s="42">
        <v>10</v>
      </c>
      <c r="E17" s="43">
        <f>N14</f>
        <v>9584.2799999999988</v>
      </c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>
        <f>E17</f>
        <v>9584.2799999999988</v>
      </c>
      <c r="Q17" s="43"/>
      <c r="R17" s="43"/>
      <c r="S17" s="43"/>
      <c r="T17" s="43">
        <v>9584</v>
      </c>
      <c r="U17" s="52" t="s">
        <v>49</v>
      </c>
      <c r="V17" s="44"/>
    </row>
    <row r="18" spans="1:22" s="29" customFormat="1" ht="24.95" customHeight="1" x14ac:dyDescent="0.25">
      <c r="B18" s="46"/>
      <c r="C18" s="46"/>
      <c r="D18" s="47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53"/>
      <c r="V18" s="57">
        <f>SUM(P8:P17)-SUM(T8:T17)</f>
        <v>-0.71999999997206032</v>
      </c>
    </row>
    <row r="19" spans="1:22" ht="24.95" customHeight="1" x14ac:dyDescent="0.25">
      <c r="A19" s="2">
        <v>59965</v>
      </c>
      <c r="B19" s="41" t="s">
        <v>32</v>
      </c>
      <c r="C19" s="13">
        <v>45230</v>
      </c>
      <c r="D19" s="42">
        <v>8</v>
      </c>
      <c r="E19" s="43">
        <v>382513</v>
      </c>
      <c r="F19" s="43">
        <v>9007</v>
      </c>
      <c r="G19" s="43">
        <f>ROUND(E19-F19,)</f>
        <v>373506</v>
      </c>
      <c r="H19" s="43">
        <f>ROUND(G19*18%,)</f>
        <v>67231</v>
      </c>
      <c r="I19" s="43">
        <f>G19+H19</f>
        <v>440737</v>
      </c>
      <c r="J19" s="43">
        <f>G19*J6</f>
        <v>3735.06</v>
      </c>
      <c r="K19" s="43">
        <f>ROUND(G19*5%,)</f>
        <v>18675</v>
      </c>
      <c r="L19" s="43">
        <f t="shared" ref="L19" si="2">ROUND(G19*10%,)</f>
        <v>37351</v>
      </c>
      <c r="M19" s="43">
        <f>ROUND(G19*10%,)</f>
        <v>37351</v>
      </c>
      <c r="N19" s="43">
        <f>H19</f>
        <v>67231</v>
      </c>
      <c r="O19" s="43">
        <v>40445</v>
      </c>
      <c r="P19" s="43">
        <f>ROUND(I19-SUM(J19:O19),)</f>
        <v>235949</v>
      </c>
      <c r="Q19" s="43"/>
      <c r="R19" s="43"/>
      <c r="S19" s="43"/>
      <c r="T19" s="43">
        <v>235948</v>
      </c>
      <c r="U19" s="51" t="s">
        <v>41</v>
      </c>
      <c r="V19" s="44"/>
    </row>
    <row r="20" spans="1:22" ht="24.95" customHeight="1" x14ac:dyDescent="0.25">
      <c r="A20" s="2">
        <v>59965</v>
      </c>
      <c r="B20" s="41" t="s">
        <v>32</v>
      </c>
      <c r="C20" s="13">
        <v>45276</v>
      </c>
      <c r="D20" s="42">
        <v>11</v>
      </c>
      <c r="E20" s="43">
        <v>79175</v>
      </c>
      <c r="F20" s="43">
        <v>4503</v>
      </c>
      <c r="G20" s="43">
        <f>ROUND(E20-F20,)</f>
        <v>74672</v>
      </c>
      <c r="H20" s="43">
        <f>ROUND(G20*18%,)</f>
        <v>13441</v>
      </c>
      <c r="I20" s="43">
        <f>G20+H20</f>
        <v>88113</v>
      </c>
      <c r="J20" s="43">
        <f>G20*J6</f>
        <v>746.72</v>
      </c>
      <c r="K20" s="43">
        <f>ROUND(G20*5%,)</f>
        <v>3734</v>
      </c>
      <c r="L20" s="43">
        <f t="shared" ref="L20" si="3">ROUND(G20*10%,)</f>
        <v>7467</v>
      </c>
      <c r="M20" s="43">
        <f>ROUND(G20*10%,)</f>
        <v>7467</v>
      </c>
      <c r="N20" s="43">
        <f>H20</f>
        <v>13441</v>
      </c>
      <c r="O20" s="43">
        <v>14749</v>
      </c>
      <c r="P20" s="43">
        <f>ROUND(I20-SUM(J20:O20),)</f>
        <v>40508</v>
      </c>
      <c r="Q20" s="43"/>
      <c r="R20" s="43"/>
      <c r="S20" s="43"/>
      <c r="T20" s="43">
        <v>67231</v>
      </c>
      <c r="U20" s="51" t="s">
        <v>40</v>
      </c>
      <c r="V20" s="44"/>
    </row>
    <row r="21" spans="1:22" ht="24.95" customHeight="1" x14ac:dyDescent="0.25">
      <c r="A21" s="2">
        <v>59965</v>
      </c>
      <c r="B21" s="41" t="s">
        <v>33</v>
      </c>
      <c r="C21" s="45"/>
      <c r="D21" s="42">
        <v>8</v>
      </c>
      <c r="E21" s="43">
        <f>N19</f>
        <v>67231</v>
      </c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>
        <f>E21</f>
        <v>67231</v>
      </c>
      <c r="Q21" s="43"/>
      <c r="R21" s="43"/>
      <c r="S21" s="43"/>
      <c r="T21" s="43">
        <v>40507</v>
      </c>
      <c r="U21" s="51" t="s">
        <v>39</v>
      </c>
      <c r="V21" s="44"/>
    </row>
    <row r="22" spans="1:22" ht="24.95" customHeight="1" x14ac:dyDescent="0.25">
      <c r="A22" s="2">
        <v>59965</v>
      </c>
      <c r="B22" s="41" t="s">
        <v>33</v>
      </c>
      <c r="C22" s="45"/>
      <c r="D22" s="42">
        <v>11</v>
      </c>
      <c r="E22" s="43">
        <f>N20</f>
        <v>13441</v>
      </c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>
        <f>E22</f>
        <v>13441</v>
      </c>
      <c r="Q22" s="43"/>
      <c r="R22" s="43"/>
      <c r="S22" s="43"/>
      <c r="T22" s="43">
        <v>13441</v>
      </c>
      <c r="U22" s="66" t="s">
        <v>51</v>
      </c>
      <c r="V22" s="44"/>
    </row>
    <row r="23" spans="1:22" ht="24.95" customHeight="1" x14ac:dyDescent="0.25">
      <c r="A23" s="2">
        <v>59965</v>
      </c>
      <c r="B23" s="41" t="s">
        <v>32</v>
      </c>
      <c r="C23" s="62">
        <v>45349</v>
      </c>
      <c r="D23" s="63">
        <v>13</v>
      </c>
      <c r="E23" s="64">
        <v>398706</v>
      </c>
      <c r="F23" s="64">
        <v>31525</v>
      </c>
      <c r="G23" s="43">
        <f>ROUND(E23-F23,)</f>
        <v>367181</v>
      </c>
      <c r="H23" s="43">
        <f>ROUND(G23*18%,)</f>
        <v>66093</v>
      </c>
      <c r="I23" s="43">
        <f>G23+H23</f>
        <v>433274</v>
      </c>
      <c r="J23" s="43">
        <f>G23*1%</f>
        <v>3671.81</v>
      </c>
      <c r="K23" s="43">
        <f>ROUND(G23*5%,)</f>
        <v>18359</v>
      </c>
      <c r="L23" s="43">
        <f t="shared" ref="L23" si="4">ROUND(G23*10%,)</f>
        <v>36718</v>
      </c>
      <c r="M23" s="43">
        <f>ROUND(G23*10%,)</f>
        <v>36718</v>
      </c>
      <c r="N23" s="43">
        <f>H23</f>
        <v>66093</v>
      </c>
      <c r="O23" s="43">
        <v>20850</v>
      </c>
      <c r="P23" s="43">
        <f>ROUND(I23-SUM(J23:O23),)</f>
        <v>250864</v>
      </c>
      <c r="Q23" s="64"/>
      <c r="R23" s="64"/>
      <c r="S23" s="64"/>
      <c r="T23" s="64">
        <v>250864</v>
      </c>
      <c r="U23" s="65" t="s">
        <v>50</v>
      </c>
      <c r="V23" s="44"/>
    </row>
    <row r="24" spans="1:22" ht="24.95" customHeight="1" x14ac:dyDescent="0.25">
      <c r="A24" s="2">
        <v>59965</v>
      </c>
      <c r="B24" s="41" t="s">
        <v>33</v>
      </c>
      <c r="C24" s="62"/>
      <c r="D24" s="63">
        <v>13</v>
      </c>
      <c r="E24" s="43">
        <f>N23</f>
        <v>66093</v>
      </c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>
        <f>E24</f>
        <v>66093</v>
      </c>
      <c r="Q24" s="64"/>
      <c r="R24" s="64"/>
      <c r="S24" s="64"/>
      <c r="T24" s="64">
        <v>66093</v>
      </c>
      <c r="U24" s="65" t="s">
        <v>51</v>
      </c>
      <c r="V24" s="44"/>
    </row>
    <row r="25" spans="1:22" ht="24.95" customHeight="1" x14ac:dyDescent="0.25">
      <c r="A25" s="2">
        <v>59965</v>
      </c>
      <c r="B25" s="61"/>
      <c r="C25" s="62"/>
      <c r="D25" s="63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5"/>
      <c r="V25" s="44"/>
    </row>
    <row r="26" spans="1:22" ht="24.95" customHeight="1" x14ac:dyDescent="0.25">
      <c r="A26" s="2">
        <v>59965</v>
      </c>
      <c r="B26" s="61"/>
      <c r="C26" s="62"/>
      <c r="D26" s="63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5"/>
      <c r="V26" s="44"/>
    </row>
    <row r="27" spans="1:22" ht="24.95" customHeight="1" thickBot="1" x14ac:dyDescent="0.3">
      <c r="A27" s="2">
        <v>59965</v>
      </c>
      <c r="B27" s="15"/>
      <c r="C27" s="15"/>
      <c r="D27" s="15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54"/>
      <c r="V27" s="57">
        <f>SUM(P19:P26)-SUM(T19:T26)</f>
        <v>2</v>
      </c>
    </row>
    <row r="28" spans="1:22" ht="24.95" customHeight="1" x14ac:dyDescent="0.25"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4"/>
      <c r="U28" s="14"/>
      <c r="V28" s="44"/>
    </row>
    <row r="29" spans="1:22" ht="24.95" customHeight="1" x14ac:dyDescent="0.25"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8" t="s">
        <v>4</v>
      </c>
      <c r="N29" s="17"/>
      <c r="O29" s="17"/>
      <c r="P29" s="18">
        <f>SUM(P8:P27)</f>
        <v>1519149.28</v>
      </c>
      <c r="Q29" s="17"/>
      <c r="R29" s="17"/>
      <c r="S29" s="17"/>
      <c r="T29" s="19">
        <f>SUM(T6:T27)</f>
        <v>1519148</v>
      </c>
      <c r="U29" s="55"/>
      <c r="V29" s="58">
        <f>SUM(V6:V27)</f>
        <v>1.2800000000279397</v>
      </c>
    </row>
    <row r="30" spans="1:22" ht="24.95" customHeight="1" x14ac:dyDescent="0.25"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4"/>
      <c r="U30" s="55"/>
      <c r="V30" s="44"/>
    </row>
    <row r="31" spans="1:22" ht="24.95" customHeight="1" x14ac:dyDescent="0.25">
      <c r="B31" s="17"/>
      <c r="C31" s="17"/>
      <c r="D31" s="17"/>
      <c r="E31" s="17"/>
      <c r="F31" s="17"/>
      <c r="G31" s="17"/>
      <c r="H31" s="17"/>
      <c r="I31" s="31"/>
      <c r="J31" s="31"/>
      <c r="K31" s="31">
        <f t="shared" ref="K31:N31" si="5">SUM(K8:K27)</f>
        <v>91116.1</v>
      </c>
      <c r="L31" s="31">
        <f t="shared" si="5"/>
        <v>182232.2</v>
      </c>
      <c r="M31" s="31">
        <f t="shared" si="5"/>
        <v>182232.2</v>
      </c>
      <c r="N31" s="31">
        <f t="shared" si="5"/>
        <v>323669.28000000003</v>
      </c>
      <c r="O31" s="31">
        <f>SUM(O8:O27)</f>
        <v>159315</v>
      </c>
      <c r="P31" s="17"/>
      <c r="Q31" s="17"/>
      <c r="R31" s="17"/>
      <c r="S31" s="17"/>
      <c r="T31" s="19">
        <f>P29-T29</f>
        <v>1.2800000000279397</v>
      </c>
      <c r="U31" s="55"/>
      <c r="V31" s="44"/>
    </row>
    <row r="32" spans="1:22" ht="24.95" customHeight="1" x14ac:dyDescent="0.25"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4"/>
      <c r="U32" s="55"/>
      <c r="V32" s="44"/>
    </row>
    <row r="33" spans="2:22" ht="24.95" customHeight="1" thickBot="1" x14ac:dyDescent="0.3"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4"/>
      <c r="U33" s="55"/>
      <c r="V33" s="48"/>
    </row>
    <row r="36" spans="2:22" ht="24.95" customHeight="1" thickBot="1" x14ac:dyDescent="0.3"/>
    <row r="37" spans="2:22" ht="24.95" customHeight="1" thickBot="1" x14ac:dyDescent="0.3">
      <c r="K37" s="72" t="s">
        <v>31</v>
      </c>
      <c r="L37" s="73"/>
      <c r="M37" s="74"/>
    </row>
    <row r="38" spans="2:22" ht="24.95" customHeight="1" x14ac:dyDescent="0.25">
      <c r="K38" s="72" t="s">
        <v>44</v>
      </c>
      <c r="L38" s="73"/>
      <c r="M38" s="74"/>
    </row>
    <row r="39" spans="2:22" ht="24.95" customHeight="1" x14ac:dyDescent="0.25">
      <c r="K39" s="75" t="s">
        <v>45</v>
      </c>
      <c r="L39" s="76"/>
      <c r="M39" s="59">
        <f>K31+L31+M31</f>
        <v>455580.50000000006</v>
      </c>
    </row>
    <row r="40" spans="2:22" ht="24.95" customHeight="1" x14ac:dyDescent="0.25">
      <c r="K40" s="75" t="s">
        <v>46</v>
      </c>
      <c r="L40" s="76"/>
      <c r="M40" s="59">
        <f>T31</f>
        <v>1.2800000000279397</v>
      </c>
    </row>
    <row r="41" spans="2:22" ht="24.95" customHeight="1" thickBot="1" x14ac:dyDescent="0.3">
      <c r="K41" s="77" t="s">
        <v>47</v>
      </c>
      <c r="L41" s="78"/>
      <c r="M41" s="60">
        <v>31524</v>
      </c>
    </row>
    <row r="42" spans="2:22" ht="24.95" customHeight="1" thickBot="1" x14ac:dyDescent="0.3">
      <c r="K42" s="77" t="s">
        <v>48</v>
      </c>
      <c r="L42" s="78"/>
      <c r="M42" s="60">
        <f>N31-P11-P12-P15-P16-P17-P21-P22</f>
        <v>66093.000000000029</v>
      </c>
    </row>
    <row r="53" spans="4:14" ht="24.95" customHeight="1" x14ac:dyDescent="0.25">
      <c r="D53" s="67" t="s">
        <v>8</v>
      </c>
      <c r="E53" s="67"/>
    </row>
    <row r="54" spans="4:14" ht="24.95" customHeight="1" x14ac:dyDescent="0.25">
      <c r="D54" s="21" t="s">
        <v>9</v>
      </c>
      <c r="E54" s="21" t="s">
        <v>10</v>
      </c>
      <c r="F54" s="20" t="s">
        <v>12</v>
      </c>
      <c r="H54" s="2"/>
      <c r="I54" s="21" t="s">
        <v>6</v>
      </c>
      <c r="J54" s="24" t="s">
        <v>7</v>
      </c>
      <c r="K54" s="24" t="s">
        <v>12</v>
      </c>
      <c r="L54" s="21" t="s">
        <v>13</v>
      </c>
      <c r="M54" s="21" t="s">
        <v>14</v>
      </c>
      <c r="N54" s="21" t="s">
        <v>15</v>
      </c>
    </row>
    <row r="55" spans="4:14" ht="24.95" customHeight="1" x14ac:dyDescent="0.25">
      <c r="D55" s="21">
        <v>63</v>
      </c>
      <c r="E55" s="21">
        <v>5175</v>
      </c>
      <c r="F55" s="20">
        <v>4794.2</v>
      </c>
      <c r="G55" s="68" t="s">
        <v>19</v>
      </c>
      <c r="H55" s="69"/>
      <c r="I55" s="21" t="s">
        <v>16</v>
      </c>
      <c r="J55" s="24">
        <v>588</v>
      </c>
      <c r="K55" s="24">
        <v>625.9</v>
      </c>
      <c r="L55" s="25">
        <f>K55-J55</f>
        <v>37.899999999999977</v>
      </c>
      <c r="M55" s="21">
        <v>95</v>
      </c>
      <c r="N55" s="25">
        <f>M55*L55</f>
        <v>3600.4999999999977</v>
      </c>
    </row>
    <row r="56" spans="4:14" ht="24.95" customHeight="1" x14ac:dyDescent="0.25">
      <c r="D56" s="21">
        <v>75</v>
      </c>
      <c r="E56" s="21">
        <v>694</v>
      </c>
      <c r="F56" s="20">
        <v>678.9</v>
      </c>
      <c r="H56" s="2"/>
      <c r="I56" s="21" t="s">
        <v>17</v>
      </c>
      <c r="J56" s="24">
        <v>0</v>
      </c>
      <c r="K56" s="24">
        <v>674</v>
      </c>
      <c r="L56" s="25">
        <f>K56-J56</f>
        <v>674</v>
      </c>
      <c r="M56" s="21">
        <v>8</v>
      </c>
      <c r="N56" s="25">
        <f>M56*L56</f>
        <v>5392</v>
      </c>
    </row>
    <row r="57" spans="4:14" ht="24.95" customHeight="1" x14ac:dyDescent="0.25">
      <c r="D57" s="21">
        <v>90</v>
      </c>
      <c r="E57" s="21">
        <v>588</v>
      </c>
      <c r="F57" s="20">
        <v>625.9</v>
      </c>
      <c r="H57" s="22" t="s">
        <v>20</v>
      </c>
      <c r="I57" s="21" t="s">
        <v>18</v>
      </c>
      <c r="J57" s="24">
        <v>37.130000000000003</v>
      </c>
      <c r="K57" s="24">
        <v>301.7</v>
      </c>
      <c r="L57" s="25">
        <f>K57-J57</f>
        <v>264.57</v>
      </c>
      <c r="M57" s="21">
        <v>50</v>
      </c>
      <c r="N57" s="25">
        <f>M57*L57</f>
        <v>13228.5</v>
      </c>
    </row>
    <row r="58" spans="4:14" ht="24.95" customHeight="1" x14ac:dyDescent="0.25">
      <c r="D58" s="21">
        <v>110</v>
      </c>
      <c r="E58" s="21">
        <v>434</v>
      </c>
      <c r="F58" s="20">
        <v>421.6</v>
      </c>
      <c r="M58" s="2" t="s">
        <v>21</v>
      </c>
      <c r="N58" s="26">
        <f>SUM(N55:N57)</f>
        <v>22221</v>
      </c>
    </row>
    <row r="59" spans="4:14" ht="24.95" customHeight="1" x14ac:dyDescent="0.25">
      <c r="D59" s="21">
        <v>160</v>
      </c>
      <c r="E59" s="21">
        <v>774</v>
      </c>
      <c r="F59" s="20">
        <v>768</v>
      </c>
      <c r="M59" s="2" t="s">
        <v>22</v>
      </c>
      <c r="N59" s="26" t="e">
        <f>#REF!</f>
        <v>#REF!</v>
      </c>
    </row>
    <row r="60" spans="4:14" ht="24.95" customHeight="1" x14ac:dyDescent="0.25">
      <c r="D60" s="21">
        <v>200</v>
      </c>
      <c r="E60" s="21">
        <v>273</v>
      </c>
      <c r="F60" s="20">
        <v>189.5</v>
      </c>
      <c r="M60" s="27" t="s">
        <v>23</v>
      </c>
      <c r="N60" s="28" t="e">
        <f>N58-N59</f>
        <v>#REF!</v>
      </c>
    </row>
    <row r="61" spans="4:14" ht="24.95" customHeight="1" x14ac:dyDescent="0.25">
      <c r="D61" s="23" t="s">
        <v>11</v>
      </c>
      <c r="E61" s="23">
        <f>SUM(E55:E60)</f>
        <v>7938</v>
      </c>
    </row>
  </sheetData>
  <mergeCells count="9">
    <mergeCell ref="D53:E53"/>
    <mergeCell ref="G55:H55"/>
    <mergeCell ref="V5:V6"/>
    <mergeCell ref="K37:M37"/>
    <mergeCell ref="K38:M38"/>
    <mergeCell ref="K39:L39"/>
    <mergeCell ref="K40:L40"/>
    <mergeCell ref="K41:L41"/>
    <mergeCell ref="K42:L4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2025-05-27T11:13:16Z</dcterms:modified>
</cp:coreProperties>
</file>