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57" i="1" l="1"/>
  <c r="W161" i="1"/>
  <c r="W165" i="1"/>
  <c r="G161" i="1"/>
  <c r="L161" i="1" s="1"/>
  <c r="R160" i="1"/>
  <c r="G157" i="1"/>
  <c r="J157" i="1" s="1"/>
  <c r="R156" i="1"/>
  <c r="M161" i="1" l="1"/>
  <c r="K161" i="1"/>
  <c r="J161" i="1"/>
  <c r="H161" i="1"/>
  <c r="L157" i="1"/>
  <c r="K157" i="1"/>
  <c r="H157" i="1"/>
  <c r="N157" i="1" s="1"/>
  <c r="Q158" i="1" s="1"/>
  <c r="M157" i="1"/>
  <c r="P11" i="1"/>
  <c r="N161" i="1" l="1"/>
  <c r="I161" i="1"/>
  <c r="Q161" i="1" s="1"/>
  <c r="I157" i="1"/>
  <c r="Q157" i="1" s="1"/>
  <c r="G13" i="1"/>
  <c r="L13" i="1" s="1"/>
  <c r="J13" i="1" l="1"/>
  <c r="M13" i="1"/>
  <c r="K13" i="1"/>
  <c r="H13" i="1"/>
  <c r="G134" i="1"/>
  <c r="M134" i="1" s="1"/>
  <c r="N13" i="1" l="1"/>
  <c r="I13" i="1"/>
  <c r="H134" i="1"/>
  <c r="N134" i="1" s="1"/>
  <c r="I134" i="1"/>
  <c r="J134" i="1"/>
  <c r="K134" i="1"/>
  <c r="L134" i="1"/>
  <c r="E172" i="1"/>
  <c r="G120" i="1"/>
  <c r="M120" i="1" s="1"/>
  <c r="G126" i="1"/>
  <c r="M126" i="1" s="1"/>
  <c r="G110" i="1"/>
  <c r="M110" i="1" s="1"/>
  <c r="R153" i="1"/>
  <c r="G154" i="1"/>
  <c r="Q13" i="1" l="1"/>
  <c r="Q134" i="1"/>
  <c r="K120" i="1"/>
  <c r="H120" i="1"/>
  <c r="N120" i="1" s="1"/>
  <c r="E121" i="1" s="1"/>
  <c r="Q121" i="1" s="1"/>
  <c r="L120" i="1"/>
  <c r="J120" i="1"/>
  <c r="K126" i="1"/>
  <c r="H126" i="1"/>
  <c r="N126" i="1" s="1"/>
  <c r="L126" i="1"/>
  <c r="J126" i="1"/>
  <c r="J110" i="1"/>
  <c r="K110" i="1"/>
  <c r="L110" i="1"/>
  <c r="H110" i="1"/>
  <c r="N110" i="1" s="1"/>
  <c r="E111" i="1" s="1"/>
  <c r="Q111" i="1" s="1"/>
  <c r="L154" i="1"/>
  <c r="H154" i="1"/>
  <c r="N154" i="1" s="1"/>
  <c r="E155" i="1" s="1"/>
  <c r="Q155" i="1" s="1"/>
  <c r="K154" i="1"/>
  <c r="J154" i="1"/>
  <c r="M154" i="1"/>
  <c r="I120" i="1" l="1"/>
  <c r="Q120" i="1" s="1"/>
  <c r="I126" i="1"/>
  <c r="Q126" i="1" s="1"/>
  <c r="W126" i="1" s="1"/>
  <c r="I110" i="1"/>
  <c r="Q110" i="1" s="1"/>
  <c r="W110" i="1" s="1"/>
  <c r="I154" i="1"/>
  <c r="Q154" i="1" s="1"/>
  <c r="W154" i="1" s="1"/>
  <c r="G52" i="1" l="1"/>
  <c r="M52" i="1" s="1"/>
  <c r="G140" i="1"/>
  <c r="M140" i="1" s="1"/>
  <c r="G151" i="1"/>
  <c r="M151" i="1" s="1"/>
  <c r="J52" i="1" l="1"/>
  <c r="K52" i="1"/>
  <c r="H52" i="1"/>
  <c r="L52" i="1"/>
  <c r="H140" i="1"/>
  <c r="N140" i="1" s="1"/>
  <c r="J140" i="1"/>
  <c r="K140" i="1"/>
  <c r="L140" i="1"/>
  <c r="H151" i="1"/>
  <c r="N151" i="1" s="1"/>
  <c r="E152" i="1" s="1"/>
  <c r="Q152" i="1" s="1"/>
  <c r="J151" i="1"/>
  <c r="K151" i="1"/>
  <c r="L151" i="1"/>
  <c r="N52" i="1" l="1"/>
  <c r="E53" i="1" s="1"/>
  <c r="Q53" i="1" s="1"/>
  <c r="I52" i="1"/>
  <c r="I140" i="1"/>
  <c r="Q140" i="1" s="1"/>
  <c r="I151" i="1"/>
  <c r="Q151" i="1" s="1"/>
  <c r="G117" i="1"/>
  <c r="G131" i="1"/>
  <c r="G138" i="1"/>
  <c r="K138" i="1" s="1"/>
  <c r="G79" i="1"/>
  <c r="K79" i="1" s="1"/>
  <c r="G102" i="1"/>
  <c r="K102" i="1" s="1"/>
  <c r="Q52" i="1" l="1"/>
  <c r="K117" i="1"/>
  <c r="J117" i="1"/>
  <c r="L117" i="1"/>
  <c r="H117" i="1"/>
  <c r="N117" i="1" s="1"/>
  <c r="E118" i="1" s="1"/>
  <c r="Q118" i="1" s="1"/>
  <c r="M117" i="1"/>
  <c r="K131" i="1"/>
  <c r="J131" i="1"/>
  <c r="M131" i="1"/>
  <c r="L131" i="1"/>
  <c r="H131" i="1"/>
  <c r="N131" i="1" s="1"/>
  <c r="E133" i="1" s="1"/>
  <c r="Q133" i="1" s="1"/>
  <c r="J79" i="1"/>
  <c r="M138" i="1"/>
  <c r="H138" i="1"/>
  <c r="N138" i="1" s="1"/>
  <c r="E141" i="1" s="1"/>
  <c r="Q141" i="1" s="1"/>
  <c r="L138" i="1"/>
  <c r="J138" i="1"/>
  <c r="H79" i="1"/>
  <c r="I79" i="1" s="1"/>
  <c r="L79" i="1"/>
  <c r="M79" i="1"/>
  <c r="H102" i="1"/>
  <c r="N102" i="1" s="1"/>
  <c r="E103" i="1" s="1"/>
  <c r="Q103" i="1" s="1"/>
  <c r="J102" i="1"/>
  <c r="L102" i="1"/>
  <c r="M102" i="1"/>
  <c r="F130" i="1"/>
  <c r="G130" i="1" s="1"/>
  <c r="G137" i="1"/>
  <c r="K137" i="1" s="1"/>
  <c r="I102" i="1" l="1"/>
  <c r="I131" i="1"/>
  <c r="Q131" i="1" s="1"/>
  <c r="I117" i="1"/>
  <c r="Q117" i="1" s="1"/>
  <c r="I138" i="1"/>
  <c r="Q138" i="1" s="1"/>
  <c r="N79" i="1"/>
  <c r="M130" i="1"/>
  <c r="J130" i="1"/>
  <c r="H130" i="1"/>
  <c r="I130" i="1" s="1"/>
  <c r="L137" i="1"/>
  <c r="H137" i="1"/>
  <c r="N137" i="1" s="1"/>
  <c r="E139" i="1" s="1"/>
  <c r="Q139" i="1" s="1"/>
  <c r="M137" i="1"/>
  <c r="J137" i="1"/>
  <c r="K130" i="1"/>
  <c r="L130" i="1"/>
  <c r="F146" i="1"/>
  <c r="G146" i="1" s="1"/>
  <c r="Q102" i="1" l="1"/>
  <c r="W102" i="1" s="1"/>
  <c r="I137" i="1"/>
  <c r="Q137" i="1" s="1"/>
  <c r="W137" i="1" s="1"/>
  <c r="Q79" i="1"/>
  <c r="E80" i="1"/>
  <c r="Q80" i="1" s="1"/>
  <c r="N130" i="1"/>
  <c r="M146" i="1"/>
  <c r="L146" i="1"/>
  <c r="K146" i="1"/>
  <c r="J146" i="1"/>
  <c r="H146" i="1"/>
  <c r="N146" i="1" s="1"/>
  <c r="E147" i="1" s="1"/>
  <c r="Q147" i="1" s="1"/>
  <c r="F123" i="1"/>
  <c r="G123" i="1" s="1"/>
  <c r="Q172" i="1" l="1"/>
  <c r="Q130" i="1"/>
  <c r="E132" i="1"/>
  <c r="Q132" i="1" s="1"/>
  <c r="J123" i="1"/>
  <c r="M123" i="1"/>
  <c r="H123" i="1"/>
  <c r="I123" i="1" s="1"/>
  <c r="L123" i="1"/>
  <c r="K123" i="1"/>
  <c r="I146" i="1"/>
  <c r="Q146" i="1" s="1"/>
  <c r="W146" i="1" s="1"/>
  <c r="F149" i="1"/>
  <c r="G149" i="1" s="1"/>
  <c r="M149" i="1" s="1"/>
  <c r="N123" i="1" l="1"/>
  <c r="E124" i="1" s="1"/>
  <c r="Q124" i="1" s="1"/>
  <c r="W130" i="1"/>
  <c r="Q123" i="1"/>
  <c r="J149" i="1"/>
  <c r="K149" i="1"/>
  <c r="L149" i="1"/>
  <c r="H149" i="1"/>
  <c r="N149" i="1" s="1"/>
  <c r="E150" i="1" s="1"/>
  <c r="Q150" i="1" s="1"/>
  <c r="I149" i="1" l="1"/>
  <c r="Q149" i="1" s="1"/>
  <c r="W149" i="1" s="1"/>
  <c r="W62" i="1" l="1"/>
  <c r="W123" i="1"/>
  <c r="W120" i="1"/>
  <c r="W117" i="1"/>
  <c r="P59" i="1" l="1"/>
  <c r="G55" i="1" l="1"/>
  <c r="M55" i="1" s="1"/>
  <c r="H55" i="1" l="1"/>
  <c r="N55" i="1" s="1"/>
  <c r="E56" i="1" s="1"/>
  <c r="Q56" i="1" s="1"/>
  <c r="K55" i="1"/>
  <c r="J55" i="1"/>
  <c r="L55" i="1"/>
  <c r="G98" i="1"/>
  <c r="M98" i="1" s="1"/>
  <c r="R97" i="1"/>
  <c r="G91" i="1"/>
  <c r="M91" i="1" s="1"/>
  <c r="P165" i="1"/>
  <c r="G11" i="1"/>
  <c r="M11" i="1" s="1"/>
  <c r="I55" i="1" l="1"/>
  <c r="Q55" i="1" s="1"/>
  <c r="W55" i="1" s="1"/>
  <c r="J98" i="1"/>
  <c r="L98" i="1"/>
  <c r="K98" i="1"/>
  <c r="H98" i="1"/>
  <c r="N98" i="1" s="1"/>
  <c r="E99" i="1" s="1"/>
  <c r="Q99" i="1" s="1"/>
  <c r="J91" i="1"/>
  <c r="L91" i="1"/>
  <c r="K91" i="1"/>
  <c r="H91" i="1"/>
  <c r="N91" i="1" s="1"/>
  <c r="E92" i="1" s="1"/>
  <c r="Q92" i="1" s="1"/>
  <c r="H11" i="1"/>
  <c r="N11" i="1" s="1"/>
  <c r="E12" i="1" s="1"/>
  <c r="Q12" i="1" s="1"/>
  <c r="J11" i="1"/>
  <c r="K11" i="1"/>
  <c r="L11" i="1"/>
  <c r="I98" i="1" l="1"/>
  <c r="Q98" i="1" s="1"/>
  <c r="W98" i="1" s="1"/>
  <c r="I91" i="1"/>
  <c r="Q91" i="1" s="1"/>
  <c r="W91" i="1" s="1"/>
  <c r="I11" i="1"/>
  <c r="Q11" i="1" s="1"/>
  <c r="G77" i="1" l="1"/>
  <c r="M77" i="1" s="1"/>
  <c r="H77" i="1" l="1"/>
  <c r="N77" i="1" s="1"/>
  <c r="E78" i="1" s="1"/>
  <c r="Q78" i="1" s="1"/>
  <c r="J77" i="1"/>
  <c r="K77" i="1"/>
  <c r="L77" i="1"/>
  <c r="G95" i="1"/>
  <c r="R94" i="1"/>
  <c r="R90" i="1"/>
  <c r="R76" i="1"/>
  <c r="G66" i="1"/>
  <c r="J66" i="1" s="1"/>
  <c r="R65" i="1"/>
  <c r="R61" i="1"/>
  <c r="K66" i="1" l="1"/>
  <c r="L66" i="1"/>
  <c r="L95" i="1"/>
  <c r="M95" i="1"/>
  <c r="M66" i="1"/>
  <c r="I77" i="1"/>
  <c r="Q77" i="1" s="1"/>
  <c r="W77" i="1" s="1"/>
  <c r="H95" i="1"/>
  <c r="N95" i="1" s="1"/>
  <c r="E96" i="1" s="1"/>
  <c r="Q96" i="1" s="1"/>
  <c r="J95" i="1"/>
  <c r="K95" i="1"/>
  <c r="H66" i="1"/>
  <c r="N66" i="1" s="1"/>
  <c r="E67" i="1" s="1"/>
  <c r="Q67" i="1" s="1"/>
  <c r="G87" i="1"/>
  <c r="M87" i="1" s="1"/>
  <c r="R86" i="1"/>
  <c r="G83" i="1"/>
  <c r="K83" i="1" s="1"/>
  <c r="R82" i="1"/>
  <c r="F73" i="1"/>
  <c r="G73" i="1" s="1"/>
  <c r="R72" i="1"/>
  <c r="I95" i="1" l="1"/>
  <c r="Q95" i="1" s="1"/>
  <c r="W95" i="1" s="1"/>
  <c r="I66" i="1"/>
  <c r="Q66" i="1" s="1"/>
  <c r="W66" i="1" s="1"/>
  <c r="J87" i="1"/>
  <c r="L87" i="1"/>
  <c r="K87" i="1"/>
  <c r="H87" i="1"/>
  <c r="N87" i="1" s="1"/>
  <c r="E88" i="1" s="1"/>
  <c r="Q88" i="1" s="1"/>
  <c r="H73" i="1"/>
  <c r="N73" i="1" s="1"/>
  <c r="K73" i="1"/>
  <c r="L73" i="1"/>
  <c r="M73" i="1"/>
  <c r="J73" i="1"/>
  <c r="J83" i="1"/>
  <c r="M83" i="1"/>
  <c r="L83" i="1"/>
  <c r="H83" i="1"/>
  <c r="G44" i="1"/>
  <c r="K44" i="1" s="1"/>
  <c r="Q74" i="1" l="1"/>
  <c r="E74" i="1"/>
  <c r="I73" i="1"/>
  <c r="Q73" i="1" s="1"/>
  <c r="W73" i="1" s="1"/>
  <c r="L44" i="1"/>
  <c r="I87" i="1"/>
  <c r="Q87" i="1" s="1"/>
  <c r="W87" i="1" s="1"/>
  <c r="H44" i="1"/>
  <c r="N44" i="1" s="1"/>
  <c r="E45" i="1" s="1"/>
  <c r="Q45" i="1" s="1"/>
  <c r="I83" i="1"/>
  <c r="N83" i="1"/>
  <c r="E84" i="1" s="1"/>
  <c r="Q84" i="1" s="1"/>
  <c r="M44" i="1"/>
  <c r="J44" i="1"/>
  <c r="I44" i="1" l="1"/>
  <c r="Q44" i="1" s="1"/>
  <c r="Q83" i="1"/>
  <c r="W83" i="1" s="1"/>
  <c r="G70" i="1"/>
  <c r="R69" i="1"/>
  <c r="M70" i="1" l="1"/>
  <c r="L70" i="1"/>
  <c r="K70" i="1"/>
  <c r="J70" i="1"/>
  <c r="H70" i="1"/>
  <c r="N70" i="1" s="1"/>
  <c r="E71" i="1" s="1"/>
  <c r="Q71" i="1" s="1"/>
  <c r="I70" i="1" l="1"/>
  <c r="Q70" i="1" s="1"/>
  <c r="W70" i="1" s="1"/>
  <c r="G50" i="1" l="1"/>
  <c r="J50" i="1" s="1"/>
  <c r="R49" i="1"/>
  <c r="L174" i="1"/>
  <c r="F59" i="1"/>
  <c r="G59" i="1" s="1"/>
  <c r="O59" i="1" s="1"/>
  <c r="O165" i="1" s="1"/>
  <c r="L50" i="1" l="1"/>
  <c r="M50" i="1"/>
  <c r="K50" i="1"/>
  <c r="H50" i="1"/>
  <c r="N50" i="1" s="1"/>
  <c r="E51" i="1" s="1"/>
  <c r="Q51" i="1" s="1"/>
  <c r="K59" i="1"/>
  <c r="J59" i="1"/>
  <c r="H59" i="1"/>
  <c r="N59" i="1" s="1"/>
  <c r="E60" i="1" s="1"/>
  <c r="Q60" i="1" s="1"/>
  <c r="L59" i="1"/>
  <c r="M59" i="1"/>
  <c r="R58" i="1"/>
  <c r="I59" i="1" l="1"/>
  <c r="Q59" i="1" s="1"/>
  <c r="W59" i="1" s="1"/>
  <c r="I50" i="1"/>
  <c r="Q50" i="1" s="1"/>
  <c r="W50" i="1" s="1"/>
  <c r="R54" i="1"/>
  <c r="U25" i="1"/>
  <c r="U35" i="1"/>
  <c r="W28" i="1"/>
  <c r="G42" i="1"/>
  <c r="H42" i="1" s="1"/>
  <c r="N42" i="1" s="1"/>
  <c r="E43" i="1" s="1"/>
  <c r="Q43" i="1" s="1"/>
  <c r="U24" i="1"/>
  <c r="U23" i="1"/>
  <c r="R46" i="1"/>
  <c r="G47" i="1"/>
  <c r="K47" i="1" s="1"/>
  <c r="Q22" i="1"/>
  <c r="J47" i="1" l="1"/>
  <c r="L47" i="1"/>
  <c r="M47" i="1"/>
  <c r="H47" i="1"/>
  <c r="N47" i="1" s="1"/>
  <c r="E48" i="1" s="1"/>
  <c r="Q48" i="1" s="1"/>
  <c r="K42" i="1"/>
  <c r="J42" i="1"/>
  <c r="M42" i="1"/>
  <c r="I42" i="1"/>
  <c r="L42" i="1"/>
  <c r="I47" i="1" l="1"/>
  <c r="Q47" i="1" s="1"/>
  <c r="Q42" i="1"/>
  <c r="W42" i="1" s="1"/>
  <c r="U34" i="1"/>
  <c r="U33" i="1"/>
  <c r="R41" i="1"/>
  <c r="R27" i="1"/>
  <c r="U13" i="1"/>
  <c r="U14" i="1"/>
  <c r="U12" i="1"/>
  <c r="G21" i="1"/>
  <c r="K21" i="1" s="1"/>
  <c r="U21" i="1"/>
  <c r="U22" i="1"/>
  <c r="G38" i="1"/>
  <c r="K38" i="1" s="1"/>
  <c r="R37" i="1"/>
  <c r="G32" i="1"/>
  <c r="J32" i="1" s="1"/>
  <c r="R31" i="1"/>
  <c r="U10" i="1"/>
  <c r="U9" i="1"/>
  <c r="U8" i="1"/>
  <c r="G9" i="1"/>
  <c r="M9" i="1" s="1"/>
  <c r="W47" i="1" l="1"/>
  <c r="H21" i="1"/>
  <c r="N21" i="1" s="1"/>
  <c r="L21" i="1"/>
  <c r="M21" i="1"/>
  <c r="J21" i="1"/>
  <c r="H38" i="1"/>
  <c r="N38" i="1" s="1"/>
  <c r="E39" i="1" s="1"/>
  <c r="Q39" i="1" s="1"/>
  <c r="L38" i="1"/>
  <c r="M38" i="1"/>
  <c r="J38" i="1"/>
  <c r="K32" i="1"/>
  <c r="H32" i="1"/>
  <c r="N32" i="1" s="1"/>
  <c r="L32" i="1"/>
  <c r="M32" i="1"/>
  <c r="H9" i="1"/>
  <c r="N9" i="1" s="1"/>
  <c r="J9" i="1"/>
  <c r="K9" i="1"/>
  <c r="L9" i="1"/>
  <c r="I21" i="1" l="1"/>
  <c r="Q21" i="1" s="1"/>
  <c r="I32" i="1"/>
  <c r="Q32" i="1" s="1"/>
  <c r="I38" i="1"/>
  <c r="Q38" i="1" s="1"/>
  <c r="W38" i="1" s="1"/>
  <c r="I9" i="1"/>
  <c r="Q9" i="1" s="1"/>
  <c r="G19" i="1" l="1"/>
  <c r="M19" i="1" s="1"/>
  <c r="U19" i="1"/>
  <c r="U165" i="1" s="1"/>
  <c r="R17" i="1"/>
  <c r="H19" i="1" l="1"/>
  <c r="N19" i="1" s="1"/>
  <c r="J19" i="1"/>
  <c r="K19" i="1"/>
  <c r="L19" i="1"/>
  <c r="G18" i="1"/>
  <c r="M18" i="1" s="1"/>
  <c r="I19" i="1" l="1"/>
  <c r="Q19" i="1" s="1"/>
  <c r="L18" i="1"/>
  <c r="H18" i="1"/>
  <c r="N18" i="1" s="1"/>
  <c r="E20" i="1" s="1"/>
  <c r="Q20" i="1" s="1"/>
  <c r="J18" i="1"/>
  <c r="K18" i="1"/>
  <c r="I18" i="1" l="1"/>
  <c r="Q18" i="1" s="1"/>
  <c r="W19" i="1" s="1"/>
  <c r="R7" i="1" l="1"/>
  <c r="G8" i="1" l="1"/>
  <c r="J8" i="1" l="1"/>
  <c r="J165" i="1" s="1"/>
  <c r="M8" i="1"/>
  <c r="M165" i="1" s="1"/>
  <c r="L8" i="1"/>
  <c r="L165" i="1" s="1"/>
  <c r="K8" i="1"/>
  <c r="K165" i="1" s="1"/>
  <c r="H8" i="1"/>
  <c r="I8" i="1" s="1"/>
  <c r="L172" i="1" l="1"/>
  <c r="N8" i="1"/>
  <c r="N165" i="1" l="1"/>
  <c r="Q8" i="1"/>
  <c r="E10" i="1"/>
  <c r="Q10" i="1" s="1"/>
  <c r="G33" i="1"/>
  <c r="I33" i="1" s="1"/>
  <c r="W8" i="1" l="1"/>
  <c r="Q33" i="1"/>
  <c r="L175" i="1" s="1"/>
  <c r="Q165" i="1" l="1"/>
  <c r="W32" i="1"/>
  <c r="U166" i="1" l="1"/>
  <c r="L173" i="1" s="1"/>
</calcChain>
</file>

<file path=xl/sharedStrings.xml><?xml version="1.0" encoding="utf-8"?>
<sst xmlns="http://schemas.openxmlformats.org/spreadsheetml/2006/main" count="247" uniqueCount="195">
  <si>
    <t>Amount</t>
  </si>
  <si>
    <t>PAYMENT NOTE No.</t>
  </si>
  <si>
    <t>UTR</t>
  </si>
  <si>
    <t>Total Paid Amount Rs. -</t>
  </si>
  <si>
    <t>Balance Payable Amount Rs. -</t>
  </si>
  <si>
    <t>RIUP22/1973</t>
  </si>
  <si>
    <t>Rawal construction</t>
  </si>
  <si>
    <t>06-10-2023 NEFT/AXISP00431640216/RIUP23/2470/SHAMSHAD 217964.00</t>
  </si>
  <si>
    <t>RIUP23/2470</t>
  </si>
  <si>
    <t>RIUP23/2415</t>
  </si>
  <si>
    <t>DPR Qty Hold</t>
  </si>
  <si>
    <t xml:space="preserve">Road restoreation work khandela Village </t>
  </si>
  <si>
    <t>26-10-2023 NEFT/AXISP00437005998/RIUP23/2872/SHAMSHAD  148500.00</t>
  </si>
  <si>
    <t>03-10-2023 NEFT/AXISP00430096870/RIUP23/2415/SHAMSHAD 460384.00</t>
  </si>
  <si>
    <t>RIUP23/2872</t>
  </si>
  <si>
    <t>12-09-2023 NEFT/AXISP00423960533/RIUP23/1973/SHAMSHAD  198000.00</t>
  </si>
  <si>
    <t>RIUP23/2777</t>
  </si>
  <si>
    <t>19-10-2023 NEFT/AXISP00435643044/RIUP23/2777/SHAMSHAD 148500.00</t>
  </si>
  <si>
    <t>RIUP23/2958</t>
  </si>
  <si>
    <t>RIUP23/2997</t>
  </si>
  <si>
    <t>02-11-2023 NEFT/AXISP00439799505/RIUP23/2997/SHAMSHAD 145491.00</t>
  </si>
  <si>
    <t>RIUP23/3397</t>
  </si>
  <si>
    <t>RIUP23/4025</t>
  </si>
  <si>
    <t>29-12-2023 NEFT/AXISP00456827637/RIUP23/4025/SHAMSHAD 198000.00</t>
  </si>
  <si>
    <t>29-11-2023 NEFT/AXISP00447355222/RIUP23/3397/SHAMSHAD 124359.00</t>
  </si>
  <si>
    <t>GST Release Note</t>
  </si>
  <si>
    <t>31-10-2023 NEFT/AXISP00435645689/RIUP23/2958/SHAMSHAD  945178.00</t>
  </si>
  <si>
    <t>RIUP23/3196</t>
  </si>
  <si>
    <t>RIUP23/3396</t>
  </si>
  <si>
    <t>RIUP23/3927</t>
  </si>
  <si>
    <t>09-11-2023 NEFT/AXISP00442779057/RIUP23/3196/SHAMSHAD  148500.00</t>
  </si>
  <si>
    <t>29-11-2023 NEFT/AXISP00430563570/RIUP23/3396/SHAMSHAD  426177.00</t>
  </si>
  <si>
    <t>22-12-2023 NEFT/AXISP00454984279/RIUP23/3927/SHAMSHAD  148500.00</t>
  </si>
  <si>
    <t>1 &amp; 3</t>
  </si>
  <si>
    <t>24-11-2023 NEFT/AXISP00446428095/RIUP23/3353/SHAMSHAD  91942.00</t>
  </si>
  <si>
    <t>RIUP23/3353</t>
  </si>
  <si>
    <t>29-11-2023 NEFT/AXISP004305635703/RIUP23/3484/SHAMSHAD  79200.00</t>
  </si>
  <si>
    <t>14-12-2023 NEFT/AXISP00452866508/RIUP23/3726/SHAMSHAD 39600.00</t>
  </si>
  <si>
    <t>RIUP23/3726</t>
  </si>
  <si>
    <t xml:space="preserve">Total Hold </t>
  </si>
  <si>
    <t>Advance / Surplus</t>
  </si>
  <si>
    <t>2 &amp; 4</t>
  </si>
  <si>
    <t>RIUP23/4189</t>
  </si>
  <si>
    <t>16-01-2024 NEFT/AXISP00462742314/RIUP23/4259/SHAMSHAD/PUNB0302300 120045.00</t>
  </si>
  <si>
    <t>RIUP23/4259</t>
  </si>
  <si>
    <t>25-01-2024 NEFT/AXISP00464876206/RIUP23/4260/SHAMSHAD/PUNB0302300 92228.00</t>
  </si>
  <si>
    <t>RIUP23/4260</t>
  </si>
  <si>
    <t>12-01-2024 NEFT/AXISP00462195942/RIUP23/4189/SHAMSHAD 273612.00</t>
  </si>
  <si>
    <t>RIUP23/4701</t>
  </si>
  <si>
    <t>23-02-2024 NEFT/AXISP00473671442/RIUP23/4701/SHAMSHAD  1,14,717.00</t>
  </si>
  <si>
    <t>GST</t>
  </si>
  <si>
    <t>03-02-2024 NEFT/AXISP00468072139/RIUP23/4476/SHAMSHAD/PUNB0302300 229233.00</t>
  </si>
  <si>
    <t>RIUP23/4476</t>
  </si>
  <si>
    <t>20-02-2024 NEFT/AXISP00472620879/RIUP23/4735/SHAMSHAD/PUNB0302300 ₹ 22,434.00</t>
  </si>
  <si>
    <t>20-02-2024 NEFT/AXISP00472620878/RIUP23/4734/SHAMSHAD/PUNB0302300 ₹ 29,200.00</t>
  </si>
  <si>
    <t>RIUP23/4735</t>
  </si>
  <si>
    <t>RIUP23/4734</t>
  </si>
  <si>
    <t>Village Wise Advance</t>
  </si>
  <si>
    <t>05-02-2024 NEFT/AXISP00468222686/RIUP23/4359/SHAMSHAD/PUNB0302300 50138.00</t>
  </si>
  <si>
    <t>06-03-2024 NEFT/AXISP00477669930/RIUP23/5007/SHAMSHAD/PUNB0302300 99000.00</t>
  </si>
  <si>
    <t>RIUP23/5007</t>
  </si>
  <si>
    <t>Rs.700 extra paid to Subcontractor as per Payment note</t>
  </si>
  <si>
    <t>01-03-2024 NEFT/AXISP00476344543/RIUP23/4864/SHAMSHAD/PUNB0302300 55760.00</t>
  </si>
  <si>
    <t>RIUP23/4864</t>
  </si>
  <si>
    <t>GST Remaining</t>
  </si>
  <si>
    <t>Site Hold</t>
  </si>
  <si>
    <t>26-04-2024 NEFT/AXISP00493991575/RIUP24/0329/SHAMSHAD/PUNB0302300 99000.00</t>
  </si>
  <si>
    <t>02-05-2024 NEFT/AXISP00496215182/RIUP24/0363/SHAMSHAD/PUNB0302300 49500.00</t>
  </si>
  <si>
    <t>12-06-2024 IFT/IFT24164019878/RIUP24/0838/RAWAL CONSTRUCTION 297000.00</t>
  </si>
  <si>
    <t>28-06-2024 IFT/IFT24180052300/RIUP24/0995/RAWAL CONSTRUCTION 198000.00</t>
  </si>
  <si>
    <t>11-06-2024 NEFT/AXISP00508348513/RIUP24/0674/SHAMSHAD/PUNB0302300 47894.00</t>
  </si>
  <si>
    <t>03-08-2024 IFT/IFT24216017350/RIUP24/1348/RAWAL CONSTRUCTION 250000.00</t>
  </si>
  <si>
    <t>16-07-2024 NEFT UTIB0005367-RAWALCONSTRUCTIONS-RIUP24/1147 198,000.00</t>
  </si>
  <si>
    <t>23-JUL-24-UTIB0005367-RAWAL CONSTRUCTIONS-RIUP24/1269-YESIG42050097602 RS 2,00,000.00</t>
  </si>
  <si>
    <t>21-08-2024 IFT/IFT24234008482/RIUP24/1491/RAWAL CONSTRUCTION 148500.00</t>
  </si>
  <si>
    <t>21-08-2024 IFT/IFT24234008481/RIUP24/1492/RAWAL CONSTRUCTION 198000.00</t>
  </si>
  <si>
    <t>29-08-2024 IFT/IFT24242064962/RIUP24/1578/RAWAL CONSTRUCTION 99000.00</t>
  </si>
  <si>
    <t>30-08-2024 IFT/IFT24243103478/RIUP24/1581/RAWAL CONSTRUCTION ₹ 99,000.00</t>
  </si>
  <si>
    <t>04-09-2024 IFT/IFT24248033728/RIUP24/1643/RAWAL CONSTRUCTION 74250.00</t>
  </si>
  <si>
    <t>04-09-2024 IFT/IFT24248033727/RIUP24/1642/RAWAL CONSTRUCTION 123750.00</t>
  </si>
  <si>
    <t>06-09-2024 IFT/IFT24250139552/RIUP24/1697/RAWAL CONSTRUCTION 49500.00</t>
  </si>
  <si>
    <t>06-09-2024 IFT/IFT24250139551/RIUP24/1696/RAWAL CONSTRUCTION 24750.00</t>
  </si>
  <si>
    <t>06-09-2024 IFT/IFT24250139550/RIUP24/1695/RAWAL CONSTRUCTION 24750.00</t>
  </si>
  <si>
    <t>06-09-2024 IFT/IFT24250139545/RIUP24/1690/RAWAL CONSTRUCTION 49500.00</t>
  </si>
  <si>
    <t>06-09-2024 IFT/IFT24250139546/RIUP24/1691/RAWAL CONSTRUCTION 74250.00</t>
  </si>
  <si>
    <t>10-09-2024 IFT/IFT24254007339/RIUP24/1726/RAWAL CONSTRUCTION 148500.00</t>
  </si>
  <si>
    <t>06-09-2024 IFT/IFT24250139549/RIUP24/1694/RAWAL CONSTRUCTION 24750.00</t>
  </si>
  <si>
    <t>06-09-2024 IFT/IFT24250139547/RIUP24/1692/RAWAL CONSTRUCTION 24750.00</t>
  </si>
  <si>
    <t>06-09-2024 IFT/IFT24250139548/RIUP24/1693/RAWAL CONSTRUCTION 24750.00</t>
  </si>
  <si>
    <t>17-09-2024 IFT/IFT24261024353/RIUP24/1804/RAWAL CONSTRUCTION 99000.00</t>
  </si>
  <si>
    <t>21-09-2024 IFT/IFT24265015455/RIUP24/1893/RAWAL CONSTRUCTION 99000.00</t>
  </si>
  <si>
    <t>RIUP24/1893</t>
  </si>
  <si>
    <t>17-09-2024 IFT/IFT24261024354/RIUP24/1805/RAWAL CONSTRUCTION 99000.00</t>
  </si>
  <si>
    <t>23-09-2024 IFT/IFT24267044108/RIUP24/1905/RAWAL CONSTRUCTION 99000.00</t>
  </si>
  <si>
    <t>23-09-2024 IFT/IFT24267044109/RIUP24/1906/RAWAL CONSTRUCTION 99000.00</t>
  </si>
  <si>
    <t>27-09-2024 IFT/IFT24271021566/RIUP24/1940/RAWAL CONSTRUCTION 198000.00</t>
  </si>
  <si>
    <t>27-09-2024 IFT/IFT24271021567/RIUP24/1941/RAWAL CONSTRUCTION 396000.00</t>
  </si>
  <si>
    <t>26-09-2024 IFT/IFT24270016598/RIUP24/1921/RAWAL CONSTRUCTION ₹ 99,000.00</t>
  </si>
  <si>
    <t>26-09-2024 IFT/IFT24270016595/RIUP24/1920/RAWAL CONSTRUCTION ₹ 1,98,000.00</t>
  </si>
  <si>
    <t>26-09-2024 IFT/IFT24270016596/RIUP24/1922/RAWAL CONSTRUCTION ₹ 2,97,000.00</t>
  </si>
  <si>
    <t>Extra Hold</t>
  </si>
  <si>
    <t>01-10-2024 IFT/IFT24275138407/RIUP24/2035/RAWAL CONSTRUCTION 99000.00</t>
  </si>
  <si>
    <t>01-10-2024 IFT/IFT24275138406/RIUP24/2034/RAWAL CONSTRUCTION 396000.00</t>
  </si>
  <si>
    <t>03-10-2024 IFT/IFT24277059005/RIUP24/2084/RAWAL CONSTRUCTION 99000.00</t>
  </si>
  <si>
    <t>10-10-2024 IFT/IFT24284067231/RIUP24/2158/RAWAL CONSTRUCTION 396000.00</t>
  </si>
  <si>
    <t>14-10-2024 IFT/IFT24288019768/RIUP24/2198/RAWAL CONSTRUCTION 198000.00</t>
  </si>
  <si>
    <t>19-10-2024 IFT/IFT24293037902/RIUP24/2249/RAWAL CONSTRUCTION 198000.00</t>
  </si>
  <si>
    <t>19-10-2024 IFT/IFT24293037901/RIUP24/2251/RAWAL CONSTRUCTION 99000.00</t>
  </si>
  <si>
    <t>23-10-2024 IFT/IFT24297024366/RIUP24/2250/RAWAL CONSTRUCTION 297000.00</t>
  </si>
  <si>
    <t>29-10-2024 IFT/IFT24303195320/RIUP24/2291/RAWAL CONSTRUCTION 247500.00</t>
  </si>
  <si>
    <t>30-10-2024 IFT/IFT24304255889/RIUP24/2369/RAWAL CONSTRUCTION 99000.00</t>
  </si>
  <si>
    <t>06-11-2024 IFT/IFT24311040429/RIUP24/2411/RAWAL CONSTRUCTION ₹ 1,98,000.00</t>
  </si>
  <si>
    <t>06-11-2024 IFT/IFT24311040425/RIUP24/2410/RAWAL CONSTRUCTION ₹ 1,98,000.00</t>
  </si>
  <si>
    <t>06-11-2024 IFT/IFT24311040423/RIUP24/2409/RAWAL CONSTRUCTION ₹ 99,000.00</t>
  </si>
  <si>
    <t>14-11-2024 IFT/IFT24319048418/RIUP24/2481/RAWAL CONSTRUCTION 148500.00</t>
  </si>
  <si>
    <t>14-11-2024 IFT/IFT24319048419/RIUP24/2482/RAWAL CONSTRUCTION 123750.00</t>
  </si>
  <si>
    <t xml:space="preserve">Bill Not Checked </t>
  </si>
  <si>
    <t>27-11-2024 IFT/IFT24332004627/RIUP24/2550/RAWAL CONSTRUCTION 297000.00</t>
  </si>
  <si>
    <t>27-11-2024 IFT/IFT24332004626/RIUP24/2551/RAWAL CONSTRUCTION 99000.00</t>
  </si>
  <si>
    <t>04-12-2024 IFT/IFT24339039522/RIUP24/2620/RAWAL CONSTRUCTION 396000.00</t>
  </si>
  <si>
    <t>21-12-2024 IFT/IFT24356017310/RIUP24/2778/RAWAL CONSTRUCTION 198000.00</t>
  </si>
  <si>
    <t>23-12-2024 IFT/IFT24358031290/RIUP24/2787/RAWAL CONSTRUCTION 148500.00</t>
  </si>
  <si>
    <t>07-01-2025 IFT/IFT25007135724/RIUP24/2864/RAWAL CONSTRUCTION 148500.00</t>
  </si>
  <si>
    <t>10-01-2025 IFT/IFT25010067490/RIUP24/2896/RAWAL CONSTRUCTION 49500.00</t>
  </si>
  <si>
    <t>16-01-2025 IFT/IFT25016031766/RIUP24/2959/RAWAL CONSTRUCTION 297000.00</t>
  </si>
  <si>
    <t>03-02-2025 IFT/IFT25034088147/RIUP24/3059/RAWAL CONSTRUCTION 297000.00</t>
  </si>
  <si>
    <t>11-02-2025 IFT/IFT25042036795/RIUP24/3144/RAWAL CONSTRUCTION 148500.00</t>
  </si>
  <si>
    <t>11-02-2025 IFT/IFT25042036794/RIUP24/3143/RAWAL CONSTRUCTION 148500.00</t>
  </si>
  <si>
    <t>14-02-2025 IFT/IFT25045004495/RIUP24/3152/RAWAL CONSTRUCTION 148500.00</t>
  </si>
  <si>
    <t>15-02-2025 IFT/IFT25046014207/RIUP24/3151/RAWAL CONSTRUCTION 148500.00</t>
  </si>
  <si>
    <t>27-02-2025 IFT/IFT25058066297/RIUP24/3291/RAWAL CONSTRUCTION 198000.00</t>
  </si>
  <si>
    <t>01-03-2025 IFT/IFT25060141228/RIUP24/3302/RAWAL CONSTRUCTION 144685.00</t>
  </si>
  <si>
    <t>19-03-2025 IFT/IFT25078029435/RIUP24/3457/RAWAL CONSTRUCTION 198000.00</t>
  </si>
  <si>
    <t>26-03-2025 IFT/IFT25085037916/RIUP24/3495/RAWAL CONSTRUCTION 75000.00</t>
  </si>
  <si>
    <t>26-03-2025 IFT/IFT25085037914/RIUP24/3494/RAWAL CONSTRUCTION 123750.00</t>
  </si>
  <si>
    <t>09-04-2025 IFT/IFT25099033919/RIUP25/0066/RAWAL CONSTRUCTION 198000.00</t>
  </si>
  <si>
    <t>09-05-2025 IFT/IFT25129065837/RIUP25/0228/RAWAL CONSTRUCTION 198000.00</t>
  </si>
  <si>
    <t>Rawal Construction</t>
  </si>
  <si>
    <t>15-05-2025 IFT/IFT25135014664/RIUP25/0252/RAWAL CONSTRUCTION 198000.00</t>
  </si>
  <si>
    <t>Subcontractor:</t>
  </si>
  <si>
    <t>State:</t>
  </si>
  <si>
    <t>District:</t>
  </si>
  <si>
    <t>Block:</t>
  </si>
  <si>
    <t>Uttar Pradesh</t>
  </si>
  <si>
    <t>Shamli</t>
  </si>
  <si>
    <t>gst</t>
  </si>
  <si>
    <t xml:space="preserve">khandela Village  Roadrestoreation work </t>
  </si>
  <si>
    <t xml:space="preserve">khandela Village  Road restoreation work </t>
  </si>
  <si>
    <t>JALALPUR VILLAGE Pipeline Restoration Work At</t>
  </si>
  <si>
    <t>RAJAK NAGAR village Pipeline Restoration Work</t>
  </si>
  <si>
    <t>CHHATRELA URF JAINPUR VILLAGE PIPE LINE ROAD RESTORATION WORK</t>
  </si>
  <si>
    <t>TITIALY village pipeline Road Restoration Work</t>
  </si>
  <si>
    <t xml:space="preserve">TITIALY village pipeline Road Restoration Work </t>
  </si>
  <si>
    <t>Nanupuri Village  Pipeline Restoration work</t>
  </si>
  <si>
    <t>Kalamazra village -RR work</t>
  </si>
  <si>
    <t>BADHEV KANNUKHERA VILLAGE PIPE LINE ROAD RESTORATION WORK</t>
  </si>
  <si>
    <t xml:space="preserve">Ambetha Riddan village RR - work  </t>
  </si>
  <si>
    <t>Asadpur Bamnaouli village - RR work</t>
  </si>
  <si>
    <t xml:space="preserve">KHERI KHUSHNA village  ROAD RESTORATION WORK </t>
  </si>
  <si>
    <t>Toda village  RR work</t>
  </si>
  <si>
    <t xml:space="preserve">Islampur Ghasauli village  RR work </t>
  </si>
  <si>
    <t>Naunagla choundari village  RR work</t>
  </si>
  <si>
    <t xml:space="preserve">MIMLA TALAB VILLAGE ROAD RESTORATION WORK </t>
  </si>
  <si>
    <t>KHERKI VILLAGE FHTC &amp; GI FITTING WORK</t>
  </si>
  <si>
    <t xml:space="preserve">Kherki village  - FHTC work </t>
  </si>
  <si>
    <t xml:space="preserve">PURMAFI  VILLAGE RESTORATION Work </t>
  </si>
  <si>
    <t xml:space="preserve">Chadhaw village  - RR work </t>
  </si>
  <si>
    <t xml:space="preserve">Dudhar village  - RR work </t>
  </si>
  <si>
    <t>Jamalpur village  - RR work</t>
  </si>
  <si>
    <t xml:space="preserve">Barnabi Pathar village  - RR work </t>
  </si>
  <si>
    <t xml:space="preserve">Saleempur village  - RR work </t>
  </si>
  <si>
    <t xml:space="preserve">Basera Non Alival village - RR work </t>
  </si>
  <si>
    <t xml:space="preserve">Hathchoya village  - RR work </t>
  </si>
  <si>
    <t xml:space="preserve">Issopur Teel village - RR work </t>
  </si>
  <si>
    <t>Aldi village  - RR work</t>
  </si>
  <si>
    <t>Pelkha village  - RR work</t>
  </si>
  <si>
    <t>BHAMERI SAHPUR VILLAGE BALANCE- PIPE LINE FHTC  WORK  At-BHAMERI SAHPUR VILLAGE , BLOCK - UNN</t>
  </si>
  <si>
    <t>KHERI KARMU village PIPE LINE ROAD RESTORATION WORK At- KHERI KARMU -BLOCK - SHAMLI</t>
  </si>
  <si>
    <t>KASERWA KHURD village Pipe Line Road Restoration Work At- VILLAGE- KASERWA KHURD, BLOCK - KAIRANA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</si>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</sst>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8"/>
      <name val="Calibri"/>
      <family val="2"/>
      <scheme val="minor"/>
    </font>
    <font>
      <b/>
      <sz val="10"/>
      <color theme="1"/>
      <name val="Comic Sans MS"/>
      <family val="4"/>
    </font>
    <font>
      <b/>
      <sz val="11"/>
      <color theme="1"/>
      <name val="Comic Sans MS"/>
      <family val="4"/>
    </font>
    <font>
      <b/>
      <sz val="14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sz val="9"/>
      <color rgb="FF333333"/>
      <name val="Verdana"/>
      <family val="2"/>
    </font>
    <font>
      <b/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15" fontId="3" fillId="3" borderId="2" xfId="0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43" fontId="11" fillId="2" borderId="2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0" fillId="3" borderId="6" xfId="0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165" fontId="3" fillId="2" borderId="2" xfId="1" applyNumberFormat="1" applyFont="1" applyFill="1" applyBorder="1" applyAlignment="1">
      <alignment vertical="center"/>
    </xf>
    <xf numFmtId="165" fontId="11" fillId="5" borderId="2" xfId="1" applyNumberFormat="1" applyFont="1" applyFill="1" applyBorder="1" applyAlignment="1">
      <alignment vertical="center"/>
    </xf>
    <xf numFmtId="43" fontId="11" fillId="5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43" fontId="7" fillId="2" borderId="1" xfId="1" applyNumberFormat="1" applyFont="1" applyFill="1" applyBorder="1" applyAlignment="1">
      <alignment vertical="center"/>
    </xf>
    <xf numFmtId="4" fontId="10" fillId="2" borderId="1" xfId="0" applyNumberFormat="1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vertical="center"/>
    </xf>
    <xf numFmtId="43" fontId="11" fillId="5" borderId="4" xfId="1" applyNumberFormat="1" applyFont="1" applyFill="1" applyBorder="1" applyAlignment="1">
      <alignment vertical="center"/>
    </xf>
    <xf numFmtId="0" fontId="13" fillId="0" borderId="0" xfId="0" applyFont="1"/>
    <xf numFmtId="0" fontId="3" fillId="6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43" fontId="5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15" fillId="0" borderId="0" xfId="0" applyFont="1"/>
    <xf numFmtId="0" fontId="0" fillId="0" borderId="0" xfId="0" applyFont="1"/>
    <xf numFmtId="0" fontId="15" fillId="2" borderId="5" xfId="0" applyFont="1" applyFill="1" applyBorder="1" applyAlignment="1">
      <alignment vertical="center"/>
    </xf>
    <xf numFmtId="0" fontId="15" fillId="2" borderId="5" xfId="0" applyFont="1" applyFill="1" applyBorder="1" applyAlignment="1">
      <alignment horizontal="center" vertical="center" wrapText="1"/>
    </xf>
    <xf numFmtId="14" fontId="15" fillId="2" borderId="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3" fontId="16" fillId="2" borderId="5" xfId="1" applyNumberFormat="1" applyFont="1" applyFill="1" applyBorder="1" applyAlignment="1">
      <alignment horizontal="center" vertical="center"/>
    </xf>
    <xf numFmtId="43" fontId="15" fillId="2" borderId="5" xfId="1" applyNumberFormat="1" applyFont="1" applyFill="1" applyBorder="1" applyAlignment="1">
      <alignment horizontal="center" vertical="center"/>
    </xf>
    <xf numFmtId="43" fontId="10" fillId="2" borderId="1" xfId="1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horizontal="center" vertical="center"/>
    </xf>
    <xf numFmtId="14" fontId="8" fillId="2" borderId="1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Z228"/>
  <sheetViews>
    <sheetView tabSelected="1" zoomScale="85" zoomScaleNormal="85" workbookViewId="0">
      <selection activeCell="B9" sqref="B9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6" customWidth="1"/>
    <col min="9" max="9" width="12.85546875" style="6" bestFit="1" customWidth="1"/>
    <col min="10" max="10" width="19.7109375" style="2" bestFit="1" customWidth="1"/>
    <col min="11" max="11" width="14.5703125" style="2" customWidth="1"/>
    <col min="12" max="12" width="16.85546875" style="2" bestFit="1" customWidth="1"/>
    <col min="13" max="13" width="15.42578125" style="2" customWidth="1"/>
    <col min="14" max="16" width="14.85546875" style="2" customWidth="1"/>
    <col min="17" max="17" width="16.85546875" style="2" bestFit="1" customWidth="1"/>
    <col min="18" max="18" width="11" style="2" bestFit="1" customWidth="1"/>
    <col min="19" max="19" width="9.28515625" style="2" customWidth="1"/>
    <col min="20" max="20" width="12.140625" style="2" customWidth="1"/>
    <col min="21" max="21" width="16.85546875" style="2" bestFit="1" customWidth="1"/>
    <col min="22" max="22" width="83" style="2" customWidth="1"/>
    <col min="23" max="23" width="19.42578125" style="2" bestFit="1" customWidth="1"/>
    <col min="24" max="16384" width="9" style="2"/>
  </cols>
  <sheetData>
    <row r="1" spans="1:156" s="55" customFormat="1" ht="24.95" customHeight="1" x14ac:dyDescent="0.25">
      <c r="A1" s="64" t="s">
        <v>139</v>
      </c>
      <c r="B1" s="55" t="s">
        <v>6</v>
      </c>
      <c r="H1" s="56"/>
      <c r="I1" s="56"/>
      <c r="S1" s="55">
        <v>63821</v>
      </c>
    </row>
    <row r="2" spans="1:156" s="55" customFormat="1" ht="24.95" customHeight="1" x14ac:dyDescent="0.25">
      <c r="A2" s="64" t="s">
        <v>140</v>
      </c>
      <c r="B2" s="65" t="s">
        <v>143</v>
      </c>
      <c r="C2" s="57"/>
      <c r="H2" s="58"/>
      <c r="I2" s="59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spans="1:156" s="55" customFormat="1" ht="24.95" customHeight="1" x14ac:dyDescent="0.25">
      <c r="A3" s="64" t="s">
        <v>141</v>
      </c>
      <c r="B3" s="65" t="s">
        <v>144</v>
      </c>
      <c r="C3" s="57"/>
      <c r="H3" s="58"/>
      <c r="I3" s="59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</row>
    <row r="4" spans="1:156" s="55" customFormat="1" ht="24.95" customHeight="1" thickBot="1" x14ac:dyDescent="0.3">
      <c r="A4" s="64" t="s">
        <v>142</v>
      </c>
      <c r="B4" s="65" t="s">
        <v>144</v>
      </c>
      <c r="C4" s="60"/>
      <c r="D4" s="60"/>
      <c r="E4" s="60"/>
      <c r="F4" s="60"/>
      <c r="G4" s="60"/>
      <c r="H4" s="61"/>
      <c r="I4" s="61"/>
      <c r="J4" s="60"/>
      <c r="K4" s="60"/>
      <c r="L4" s="60"/>
      <c r="M4" s="60"/>
      <c r="R4" s="62"/>
      <c r="S4" s="60"/>
      <c r="T4" s="63"/>
      <c r="U4" s="63"/>
      <c r="V4" s="63"/>
      <c r="W4" s="63"/>
    </row>
    <row r="5" spans="1:156" ht="24.95" customHeight="1" x14ac:dyDescent="0.25">
      <c r="A5" s="66" t="s">
        <v>179</v>
      </c>
      <c r="B5" s="67" t="s">
        <v>180</v>
      </c>
      <c r="C5" s="68" t="s">
        <v>181</v>
      </c>
      <c r="D5" s="69" t="s">
        <v>182</v>
      </c>
      <c r="E5" s="67" t="s">
        <v>183</v>
      </c>
      <c r="F5" s="67" t="s">
        <v>184</v>
      </c>
      <c r="G5" s="69" t="s">
        <v>185</v>
      </c>
      <c r="H5" s="70" t="s">
        <v>186</v>
      </c>
      <c r="I5" s="71" t="s">
        <v>0</v>
      </c>
      <c r="J5" s="67" t="s">
        <v>187</v>
      </c>
      <c r="K5" s="67" t="s">
        <v>188</v>
      </c>
      <c r="L5" s="34" t="s">
        <v>190</v>
      </c>
      <c r="M5" s="34" t="s">
        <v>189</v>
      </c>
      <c r="N5" s="34" t="s">
        <v>191</v>
      </c>
      <c r="O5" s="34" t="s">
        <v>65</v>
      </c>
      <c r="P5" s="34" t="s">
        <v>10</v>
      </c>
      <c r="Q5" s="34" t="s">
        <v>192</v>
      </c>
      <c r="R5" s="34"/>
      <c r="S5" s="34" t="s">
        <v>1</v>
      </c>
      <c r="T5" s="34" t="s">
        <v>193</v>
      </c>
      <c r="U5" s="67" t="s">
        <v>194</v>
      </c>
      <c r="V5" s="67" t="s">
        <v>2</v>
      </c>
      <c r="W5" s="34" t="s">
        <v>57</v>
      </c>
    </row>
    <row r="6" spans="1:156" ht="24.95" customHeight="1" thickBot="1" x14ac:dyDescent="0.3">
      <c r="A6" s="14"/>
      <c r="B6" s="5"/>
      <c r="C6" s="5"/>
      <c r="D6" s="5"/>
      <c r="E6" s="5"/>
      <c r="F6" s="5"/>
      <c r="G6" s="5"/>
      <c r="H6" s="5"/>
      <c r="I6" s="5"/>
      <c r="J6" s="42">
        <v>0.01</v>
      </c>
      <c r="K6" s="42">
        <v>0.05</v>
      </c>
      <c r="L6" s="42">
        <v>0.1</v>
      </c>
      <c r="M6" s="42">
        <v>0.1</v>
      </c>
      <c r="N6" s="5"/>
      <c r="O6" s="5"/>
      <c r="P6" s="5"/>
      <c r="Q6" s="5"/>
      <c r="R6" s="24"/>
      <c r="S6" s="5"/>
      <c r="T6" s="5"/>
      <c r="U6" s="5"/>
      <c r="V6" s="5"/>
      <c r="W6" s="5"/>
    </row>
    <row r="7" spans="1:156" s="8" customFormat="1" ht="24.95" customHeight="1" x14ac:dyDescent="0.25">
      <c r="A7" s="38"/>
      <c r="B7" s="39"/>
      <c r="C7" s="39"/>
      <c r="D7" s="39"/>
      <c r="E7" s="39"/>
      <c r="F7" s="39"/>
      <c r="G7" s="39"/>
      <c r="H7" s="39"/>
      <c r="I7" s="39"/>
      <c r="J7" s="40"/>
      <c r="K7" s="40"/>
      <c r="L7" s="40"/>
      <c r="M7" s="40"/>
      <c r="N7" s="39"/>
      <c r="O7" s="39"/>
      <c r="P7" s="39"/>
      <c r="Q7" s="39"/>
      <c r="R7" s="41">
        <f>A8</f>
        <v>59058</v>
      </c>
      <c r="S7" s="39"/>
      <c r="T7" s="39"/>
      <c r="U7" s="39"/>
      <c r="V7" s="39"/>
      <c r="W7" s="39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</row>
    <row r="8" spans="1:156" ht="24.95" customHeight="1" x14ac:dyDescent="0.25">
      <c r="A8" s="12">
        <v>59058</v>
      </c>
      <c r="B8" s="16" t="s">
        <v>146</v>
      </c>
      <c r="C8" s="1">
        <v>45191</v>
      </c>
      <c r="D8" s="17">
        <v>1</v>
      </c>
      <c r="E8" s="4">
        <v>1004157</v>
      </c>
      <c r="F8" s="4">
        <v>114450</v>
      </c>
      <c r="G8" s="4">
        <f>E8-F8</f>
        <v>889707</v>
      </c>
      <c r="H8" s="4">
        <f>ROUND(G8*18%,0)</f>
        <v>160147</v>
      </c>
      <c r="I8" s="4">
        <f>G8+H8</f>
        <v>1049854</v>
      </c>
      <c r="J8" s="4">
        <f>ROUND(G8*$J$6,0)</f>
        <v>8897</v>
      </c>
      <c r="K8" s="4">
        <f>ROUND(G8*$K$6,0)</f>
        <v>44485</v>
      </c>
      <c r="L8" s="4">
        <f>ROUND(G8*$L$6,0)</f>
        <v>88971</v>
      </c>
      <c r="M8" s="4">
        <f>ROUND(G8*$M$6,0)</f>
        <v>88971</v>
      </c>
      <c r="N8" s="45">
        <f>H8</f>
        <v>160147</v>
      </c>
      <c r="O8" s="4"/>
      <c r="P8" s="4">
        <v>0</v>
      </c>
      <c r="Q8" s="4">
        <f>ROUND(I8-SUM(J8:P8),)</f>
        <v>658383</v>
      </c>
      <c r="R8" s="18"/>
      <c r="S8" s="4" t="s">
        <v>5</v>
      </c>
      <c r="T8" s="4">
        <v>200000</v>
      </c>
      <c r="U8" s="4">
        <f>T8-T8*1%</f>
        <v>198000</v>
      </c>
      <c r="V8" s="19" t="s">
        <v>15</v>
      </c>
      <c r="W8" s="4">
        <f>SUM(Q8:Q16,0)-SUM(U8:U16,0)</f>
        <v>-451986</v>
      </c>
    </row>
    <row r="9" spans="1:156" ht="24.95" customHeight="1" x14ac:dyDescent="0.25">
      <c r="A9" s="12">
        <v>59058</v>
      </c>
      <c r="B9" s="16" t="s">
        <v>146</v>
      </c>
      <c r="C9" s="1">
        <v>45216</v>
      </c>
      <c r="D9" s="17">
        <v>3</v>
      </c>
      <c r="E9" s="4">
        <v>1477946</v>
      </c>
      <c r="F9" s="4">
        <v>0</v>
      </c>
      <c r="G9" s="4">
        <f>E9-F9</f>
        <v>1477946</v>
      </c>
      <c r="H9" s="4">
        <f>ROUND(G9*18%,0)</f>
        <v>266030</v>
      </c>
      <c r="I9" s="4">
        <f>G9+H9</f>
        <v>1743976</v>
      </c>
      <c r="J9" s="4">
        <f>ROUND(G9*$J$6,0)</f>
        <v>14779</v>
      </c>
      <c r="K9" s="4">
        <f>ROUND(G9*$K$6,0)</f>
        <v>73897</v>
      </c>
      <c r="L9" s="4">
        <f>G9*10%</f>
        <v>147794.6</v>
      </c>
      <c r="M9" s="4">
        <f>G9*10%</f>
        <v>147794.6</v>
      </c>
      <c r="N9" s="45">
        <f>H9</f>
        <v>266030</v>
      </c>
      <c r="O9" s="4"/>
      <c r="P9" s="4">
        <v>0</v>
      </c>
      <c r="Q9" s="4">
        <f>ROUND(I9-SUM(J9:P9),)</f>
        <v>1093681</v>
      </c>
      <c r="R9" s="18"/>
      <c r="S9" s="4" t="s">
        <v>9</v>
      </c>
      <c r="T9" s="4">
        <v>460384</v>
      </c>
      <c r="U9" s="4">
        <f>T9</f>
        <v>460384</v>
      </c>
      <c r="V9" s="19" t="s">
        <v>13</v>
      </c>
      <c r="W9" s="4"/>
    </row>
    <row r="10" spans="1:156" ht="24.95" customHeight="1" x14ac:dyDescent="0.25">
      <c r="A10" s="12">
        <v>59058</v>
      </c>
      <c r="B10" s="16" t="s">
        <v>25</v>
      </c>
      <c r="C10" s="1"/>
      <c r="D10" s="17" t="s">
        <v>33</v>
      </c>
      <c r="E10" s="4">
        <f>N8+N9</f>
        <v>426177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5">
        <f>E10</f>
        <v>426177</v>
      </c>
      <c r="R10" s="18"/>
      <c r="S10" s="4" t="s">
        <v>16</v>
      </c>
      <c r="T10" s="4">
        <v>150000</v>
      </c>
      <c r="U10" s="4">
        <f>T10-T10*1%</f>
        <v>148500</v>
      </c>
      <c r="V10" s="19" t="s">
        <v>17</v>
      </c>
      <c r="W10" s="4"/>
    </row>
    <row r="11" spans="1:156" ht="24.95" customHeight="1" x14ac:dyDescent="0.25">
      <c r="A11" s="12">
        <v>59058</v>
      </c>
      <c r="B11" s="16" t="s">
        <v>146</v>
      </c>
      <c r="C11" s="1">
        <v>45491</v>
      </c>
      <c r="D11" s="17">
        <v>11</v>
      </c>
      <c r="E11" s="4">
        <v>357753</v>
      </c>
      <c r="F11" s="4"/>
      <c r="G11" s="4">
        <f>E11-F11</f>
        <v>357753</v>
      </c>
      <c r="H11" s="4">
        <f>ROUND(G11*18%,0)</f>
        <v>64396</v>
      </c>
      <c r="I11" s="4">
        <f>G11+H11</f>
        <v>422149</v>
      </c>
      <c r="J11" s="4">
        <f>ROUND(G11*$J$6,0)</f>
        <v>3578</v>
      </c>
      <c r="K11" s="4">
        <f>ROUND(G11*$K$6,0)</f>
        <v>17888</v>
      </c>
      <c r="L11" s="4">
        <f>G11*10%</f>
        <v>35775.300000000003</v>
      </c>
      <c r="M11" s="4">
        <f>G11*10%</f>
        <v>35775.300000000003</v>
      </c>
      <c r="N11" s="45">
        <f>H11</f>
        <v>64396</v>
      </c>
      <c r="O11" s="4"/>
      <c r="P11" s="4">
        <f>825*433.64</f>
        <v>357753</v>
      </c>
      <c r="Q11" s="4">
        <f>ROUND(I11-SUM(J11:P11),)</f>
        <v>-93017</v>
      </c>
      <c r="R11" s="18"/>
      <c r="S11" s="4" t="s">
        <v>18</v>
      </c>
      <c r="T11" s="4">
        <v>945178</v>
      </c>
      <c r="U11" s="4">
        <v>945178</v>
      </c>
      <c r="V11" s="19" t="s">
        <v>26</v>
      </c>
      <c r="W11" s="4"/>
    </row>
    <row r="12" spans="1:156" ht="24.95" customHeight="1" x14ac:dyDescent="0.25">
      <c r="A12" s="12">
        <v>59058</v>
      </c>
      <c r="B12" s="16" t="s">
        <v>25</v>
      </c>
      <c r="C12" s="1"/>
      <c r="D12" s="17">
        <v>11</v>
      </c>
      <c r="E12" s="4">
        <f>N11</f>
        <v>64396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5">
        <f>E12</f>
        <v>64396</v>
      </c>
      <c r="R12" s="18"/>
      <c r="S12" s="4" t="s">
        <v>27</v>
      </c>
      <c r="T12" s="4">
        <v>150000</v>
      </c>
      <c r="U12" s="4">
        <f>T12-T12*1%</f>
        <v>148500</v>
      </c>
      <c r="V12" s="19" t="s">
        <v>30</v>
      </c>
      <c r="W12" s="4"/>
    </row>
    <row r="13" spans="1:156" ht="24.95" customHeight="1" x14ac:dyDescent="0.25">
      <c r="A13" s="12">
        <v>59058</v>
      </c>
      <c r="B13" s="16" t="s">
        <v>146</v>
      </c>
      <c r="C13" s="1">
        <v>45733</v>
      </c>
      <c r="D13" s="17">
        <v>35</v>
      </c>
      <c r="E13" s="4">
        <v>105257</v>
      </c>
      <c r="F13" s="4"/>
      <c r="G13" s="4">
        <f>E13-F13</f>
        <v>105257</v>
      </c>
      <c r="H13" s="4">
        <f>ROUND(G13*18%,0)</f>
        <v>18946</v>
      </c>
      <c r="I13" s="4">
        <f>G13+H13</f>
        <v>124203</v>
      </c>
      <c r="J13" s="4">
        <f>ROUND(G13*$J$6,0)</f>
        <v>1053</v>
      </c>
      <c r="K13" s="4">
        <f>ROUND(G13*$K$6,0)</f>
        <v>5263</v>
      </c>
      <c r="L13" s="4">
        <f>G13*10%</f>
        <v>10525.7</v>
      </c>
      <c r="M13" s="4">
        <f>G13*10%</f>
        <v>10525.7</v>
      </c>
      <c r="N13" s="45">
        <f>H13</f>
        <v>18946</v>
      </c>
      <c r="O13" s="4"/>
      <c r="P13" s="4">
        <v>105257</v>
      </c>
      <c r="Q13" s="4">
        <f>ROUND(I13-SUM(J13:P13),)</f>
        <v>-27367</v>
      </c>
      <c r="R13" s="18"/>
      <c r="S13" s="4" t="s">
        <v>28</v>
      </c>
      <c r="T13" s="4">
        <v>426177</v>
      </c>
      <c r="U13" s="4">
        <f>T13</f>
        <v>426177</v>
      </c>
      <c r="V13" s="19" t="s">
        <v>31</v>
      </c>
      <c r="W13" s="4"/>
    </row>
    <row r="14" spans="1:156" ht="24.95" customHeight="1" x14ac:dyDescent="0.25">
      <c r="A14" s="12">
        <v>59058</v>
      </c>
      <c r="B14" s="16"/>
      <c r="C14" s="1"/>
      <c r="D14" s="17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18"/>
      <c r="S14" s="4" t="s">
        <v>29</v>
      </c>
      <c r="T14" s="4">
        <v>150000</v>
      </c>
      <c r="U14" s="4">
        <f>T14-T14*1%</f>
        <v>148500</v>
      </c>
      <c r="V14" s="19" t="s">
        <v>32</v>
      </c>
      <c r="W14" s="4"/>
    </row>
    <row r="15" spans="1:156" ht="24.95" customHeight="1" x14ac:dyDescent="0.25">
      <c r="A15" s="12">
        <v>59058</v>
      </c>
      <c r="B15" s="16"/>
      <c r="C15" s="1"/>
      <c r="D15" s="17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18"/>
      <c r="S15" s="4"/>
      <c r="T15" s="4">
        <v>100000</v>
      </c>
      <c r="U15" s="4">
        <v>99000</v>
      </c>
      <c r="V15" s="19" t="s">
        <v>89</v>
      </c>
      <c r="W15" s="4"/>
    </row>
    <row r="16" spans="1:156" ht="24.95" customHeight="1" x14ac:dyDescent="0.25">
      <c r="A16" s="12">
        <v>59058</v>
      </c>
      <c r="B16" s="16"/>
      <c r="C16" s="1"/>
      <c r="D16" s="17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18"/>
      <c r="S16" s="4"/>
      <c r="T16" s="4"/>
      <c r="U16" s="4"/>
      <c r="V16" s="19"/>
      <c r="W16" s="4"/>
    </row>
    <row r="17" spans="1:156" s="8" customFormat="1" ht="24.95" customHeight="1" x14ac:dyDescent="0.25">
      <c r="A17" s="13"/>
      <c r="B17" s="20"/>
      <c r="C17" s="10"/>
      <c r="D17" s="21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22">
        <f>A18</f>
        <v>59476</v>
      </c>
      <c r="S17" s="9"/>
      <c r="T17" s="9"/>
      <c r="U17" s="9"/>
      <c r="V17" s="13"/>
      <c r="W17" s="9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</row>
    <row r="18" spans="1:156" s="8" customFormat="1" ht="52.5" customHeight="1" x14ac:dyDescent="0.25">
      <c r="A18" s="12">
        <v>59476</v>
      </c>
      <c r="B18" s="16" t="s">
        <v>147</v>
      </c>
      <c r="C18" s="1">
        <v>45195</v>
      </c>
      <c r="D18" s="17">
        <v>2</v>
      </c>
      <c r="E18" s="4">
        <v>388979</v>
      </c>
      <c r="F18" s="4">
        <v>95375</v>
      </c>
      <c r="G18" s="4">
        <f>E18-F18</f>
        <v>293604</v>
      </c>
      <c r="H18" s="4">
        <f>ROUND(G18*18%,0)</f>
        <v>52849</v>
      </c>
      <c r="I18" s="4">
        <f>G18+H18</f>
        <v>346453</v>
      </c>
      <c r="J18" s="4">
        <f>ROUND(G18*$J$6,0)</f>
        <v>2936</v>
      </c>
      <c r="K18" s="4">
        <f>ROUND(G18*$K$6,0)</f>
        <v>14680</v>
      </c>
      <c r="L18" s="4">
        <f>G18*10%</f>
        <v>29360.400000000001</v>
      </c>
      <c r="M18" s="4">
        <f>G18*10%</f>
        <v>29360.400000000001</v>
      </c>
      <c r="N18" s="45">
        <f>H18</f>
        <v>52849</v>
      </c>
      <c r="O18" s="4"/>
      <c r="P18" s="4"/>
      <c r="Q18" s="4">
        <f>ROUND(I18-SUM(J18:N18),)</f>
        <v>217267</v>
      </c>
      <c r="R18" s="18"/>
      <c r="S18" s="4" t="s">
        <v>8</v>
      </c>
      <c r="T18" s="4">
        <v>217964</v>
      </c>
      <c r="U18" s="4">
        <v>217964</v>
      </c>
      <c r="V18" s="19" t="s">
        <v>7</v>
      </c>
      <c r="W18" s="54" t="s">
        <v>61</v>
      </c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</row>
    <row r="19" spans="1:156" ht="24.95" customHeight="1" x14ac:dyDescent="0.25">
      <c r="A19" s="12">
        <v>59476</v>
      </c>
      <c r="B19" s="16" t="s">
        <v>11</v>
      </c>
      <c r="C19" s="1">
        <v>45219</v>
      </c>
      <c r="D19" s="17">
        <v>4</v>
      </c>
      <c r="E19" s="4">
        <v>397284</v>
      </c>
      <c r="F19" s="4">
        <v>0</v>
      </c>
      <c r="G19" s="4">
        <f>E19-F19</f>
        <v>397284</v>
      </c>
      <c r="H19" s="4">
        <f>ROUND(G19*18%,0)</f>
        <v>71511</v>
      </c>
      <c r="I19" s="4">
        <f>G19+H19</f>
        <v>468795</v>
      </c>
      <c r="J19" s="4">
        <f>ROUND(G19*$J$6,0)</f>
        <v>3973</v>
      </c>
      <c r="K19" s="4">
        <f>ROUND(G19*$K$6,0)</f>
        <v>19864</v>
      </c>
      <c r="L19" s="4">
        <f>G19*10%</f>
        <v>39728.400000000001</v>
      </c>
      <c r="M19" s="4">
        <f>G19*10%</f>
        <v>39728.400000000001</v>
      </c>
      <c r="N19" s="45">
        <f>H19</f>
        <v>71511</v>
      </c>
      <c r="O19" s="4"/>
      <c r="P19" s="4"/>
      <c r="Q19" s="4">
        <f>ROUND(I19-SUM(J19:N19),)</f>
        <v>293990</v>
      </c>
      <c r="R19" s="18"/>
      <c r="S19" s="4" t="s">
        <v>14</v>
      </c>
      <c r="T19" s="4">
        <v>150000</v>
      </c>
      <c r="U19" s="4">
        <f>T19-T19*1%</f>
        <v>148500</v>
      </c>
      <c r="V19" s="19" t="s">
        <v>12</v>
      </c>
      <c r="W19" s="4">
        <f>SUM(Q18:Q26,0)-SUM(U18:U26,0)</f>
        <v>-149199</v>
      </c>
    </row>
    <row r="20" spans="1:156" ht="24.95" customHeight="1" x14ac:dyDescent="0.25">
      <c r="A20" s="12">
        <v>59476</v>
      </c>
      <c r="B20" s="16" t="s">
        <v>25</v>
      </c>
      <c r="C20" s="1"/>
      <c r="D20" s="17" t="s">
        <v>41</v>
      </c>
      <c r="E20" s="4">
        <f>N18+N19</f>
        <v>124360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5">
        <f>E20</f>
        <v>124360</v>
      </c>
      <c r="R20" s="18"/>
      <c r="S20" s="4" t="s">
        <v>19</v>
      </c>
      <c r="T20" s="4">
        <v>145491</v>
      </c>
      <c r="U20" s="4">
        <v>145491</v>
      </c>
      <c r="V20" s="19" t="s">
        <v>20</v>
      </c>
      <c r="W20" s="4"/>
    </row>
    <row r="21" spans="1:156" ht="24.95" customHeight="1" x14ac:dyDescent="0.25">
      <c r="A21" s="12">
        <v>59476</v>
      </c>
      <c r="B21" s="16" t="s">
        <v>147</v>
      </c>
      <c r="C21" s="1">
        <v>45286</v>
      </c>
      <c r="D21" s="17">
        <v>7</v>
      </c>
      <c r="E21" s="4">
        <v>637312</v>
      </c>
      <c r="F21" s="4">
        <v>0</v>
      </c>
      <c r="G21" s="4">
        <f>E21-F21</f>
        <v>637312</v>
      </c>
      <c r="H21" s="4">
        <f>ROUND(G21*18%,0)</f>
        <v>114716</v>
      </c>
      <c r="I21" s="4">
        <f>G21+H21</f>
        <v>752028</v>
      </c>
      <c r="J21" s="4">
        <f>ROUND(G21*$J$6,0)</f>
        <v>6373</v>
      </c>
      <c r="K21" s="4">
        <f>ROUND(G21*$K$6,0)</f>
        <v>31866</v>
      </c>
      <c r="L21" s="4">
        <f>G21*10%</f>
        <v>63731.200000000004</v>
      </c>
      <c r="M21" s="4">
        <f>G21*10%</f>
        <v>63731.200000000004</v>
      </c>
      <c r="N21" s="45">
        <f>H21</f>
        <v>114716</v>
      </c>
      <c r="O21" s="4"/>
      <c r="P21" s="4"/>
      <c r="Q21" s="4">
        <f>ROUND(I21-SUM(J21:N21),)</f>
        <v>471611</v>
      </c>
      <c r="R21" s="18"/>
      <c r="S21" s="4" t="s">
        <v>21</v>
      </c>
      <c r="T21" s="4">
        <v>124359</v>
      </c>
      <c r="U21" s="4">
        <f>T21</f>
        <v>124359</v>
      </c>
      <c r="V21" s="19" t="s">
        <v>24</v>
      </c>
      <c r="W21" s="4"/>
    </row>
    <row r="22" spans="1:156" ht="24.95" customHeight="1" x14ac:dyDescent="0.25">
      <c r="A22" s="12">
        <v>59476</v>
      </c>
      <c r="B22" s="16" t="s">
        <v>25</v>
      </c>
      <c r="C22" s="1"/>
      <c r="D22" s="17">
        <v>7</v>
      </c>
      <c r="E22" s="4">
        <v>114716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5">
        <f>E22</f>
        <v>114716</v>
      </c>
      <c r="R22" s="18"/>
      <c r="S22" s="4" t="s">
        <v>22</v>
      </c>
      <c r="T22" s="4">
        <v>200000</v>
      </c>
      <c r="U22" s="4">
        <f>T22-T22*1%</f>
        <v>198000</v>
      </c>
      <c r="V22" s="19" t="s">
        <v>23</v>
      </c>
      <c r="W22" s="4"/>
    </row>
    <row r="23" spans="1:156" ht="24.95" customHeight="1" x14ac:dyDescent="0.25">
      <c r="A23" s="12">
        <v>59476</v>
      </c>
      <c r="B23" s="16"/>
      <c r="C23" s="1"/>
      <c r="D23" s="17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23"/>
      <c r="R23" s="18"/>
      <c r="S23" s="4" t="s">
        <v>42</v>
      </c>
      <c r="T23" s="4">
        <v>273612</v>
      </c>
      <c r="U23" s="4">
        <f>T23-0</f>
        <v>273612</v>
      </c>
      <c r="V23" s="19" t="s">
        <v>47</v>
      </c>
      <c r="W23" s="4"/>
    </row>
    <row r="24" spans="1:156" ht="24.95" customHeight="1" x14ac:dyDescent="0.25">
      <c r="A24" s="12">
        <v>59476</v>
      </c>
      <c r="B24" s="16"/>
      <c r="C24" s="1"/>
      <c r="D24" s="17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18"/>
      <c r="S24" s="4" t="s">
        <v>48</v>
      </c>
      <c r="T24" s="4">
        <v>114717</v>
      </c>
      <c r="U24" s="4">
        <f>T24-0</f>
        <v>114717</v>
      </c>
      <c r="V24" s="19" t="s">
        <v>49</v>
      </c>
      <c r="W24" s="4"/>
    </row>
    <row r="25" spans="1:156" ht="24.95" customHeight="1" x14ac:dyDescent="0.25">
      <c r="A25" s="12">
        <v>59476</v>
      </c>
      <c r="B25" s="16"/>
      <c r="C25" s="1"/>
      <c r="D25" s="17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18"/>
      <c r="S25" s="4" t="s">
        <v>60</v>
      </c>
      <c r="T25" s="4">
        <v>100000</v>
      </c>
      <c r="U25" s="4">
        <f>T25-1%*T25</f>
        <v>99000</v>
      </c>
      <c r="V25" s="19" t="s">
        <v>59</v>
      </c>
      <c r="W25" s="4"/>
    </row>
    <row r="26" spans="1:156" ht="24.95" customHeight="1" x14ac:dyDescent="0.25">
      <c r="A26" s="12">
        <v>59476</v>
      </c>
      <c r="B26" s="16"/>
      <c r="C26" s="1"/>
      <c r="D26" s="17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18"/>
      <c r="S26" s="4"/>
      <c r="T26" s="4"/>
      <c r="U26" s="4">
        <v>49500</v>
      </c>
      <c r="V26" s="19" t="s">
        <v>67</v>
      </c>
      <c r="W26" s="28"/>
    </row>
    <row r="27" spans="1:156" ht="24.95" customHeight="1" x14ac:dyDescent="0.25">
      <c r="A27" s="13"/>
      <c r="B27" s="20"/>
      <c r="C27" s="10"/>
      <c r="D27" s="21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22">
        <f>A28</f>
        <v>59477</v>
      </c>
      <c r="S27" s="9"/>
      <c r="T27" s="9"/>
      <c r="U27" s="9"/>
      <c r="V27" s="13"/>
      <c r="W27" s="9"/>
    </row>
    <row r="28" spans="1:156" ht="24.95" customHeight="1" x14ac:dyDescent="0.25">
      <c r="A28" s="12">
        <v>59477</v>
      </c>
      <c r="B28" s="16" t="s">
        <v>148</v>
      </c>
      <c r="C28" s="1"/>
      <c r="D28" s="17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18"/>
      <c r="S28" s="4"/>
      <c r="T28" s="4"/>
      <c r="U28" s="4">
        <v>247500</v>
      </c>
      <c r="V28" s="19" t="s">
        <v>109</v>
      </c>
      <c r="W28" s="4">
        <f>SUM(Q28:Q30)-SUM(U28:U30)</f>
        <v>-247500</v>
      </c>
    </row>
    <row r="29" spans="1:156" ht="24.95" customHeight="1" x14ac:dyDescent="0.25">
      <c r="A29" s="12"/>
      <c r="B29" s="16"/>
      <c r="C29" s="1"/>
      <c r="D29" s="17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18"/>
      <c r="S29" s="4"/>
      <c r="T29" s="4"/>
      <c r="U29" s="4"/>
      <c r="V29" s="19"/>
      <c r="W29" s="4"/>
    </row>
    <row r="30" spans="1:156" ht="24.95" customHeight="1" x14ac:dyDescent="0.25">
      <c r="A30" s="12"/>
      <c r="B30" s="16"/>
      <c r="C30" s="1"/>
      <c r="D30" s="17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18"/>
      <c r="S30" s="4"/>
      <c r="T30" s="4"/>
      <c r="U30" s="4"/>
      <c r="V30" s="19"/>
      <c r="W30" s="4"/>
    </row>
    <row r="31" spans="1:156" ht="24.95" customHeight="1" x14ac:dyDescent="0.25">
      <c r="A31" s="13"/>
      <c r="B31" s="20"/>
      <c r="C31" s="10"/>
      <c r="D31" s="21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>
        <f>A32</f>
        <v>60185</v>
      </c>
      <c r="S31" s="9"/>
      <c r="T31" s="9"/>
      <c r="U31" s="9"/>
      <c r="V31" s="13"/>
      <c r="W31" s="9"/>
    </row>
    <row r="32" spans="1:156" ht="24.95" customHeight="1" x14ac:dyDescent="0.25">
      <c r="A32" s="12">
        <v>60185</v>
      </c>
      <c r="B32" s="16" t="s">
        <v>149</v>
      </c>
      <c r="C32" s="1">
        <v>45240</v>
      </c>
      <c r="D32" s="17">
        <v>5</v>
      </c>
      <c r="E32" s="4">
        <v>335767</v>
      </c>
      <c r="F32" s="4">
        <v>57225</v>
      </c>
      <c r="G32" s="4">
        <f>E32-F32</f>
        <v>278542</v>
      </c>
      <c r="H32" s="4">
        <f>ROUND(G32*18%,0)</f>
        <v>50138</v>
      </c>
      <c r="I32" s="4">
        <f>G32+H32</f>
        <v>328680</v>
      </c>
      <c r="J32" s="4">
        <f>ROUND(G32*$J$6,0)</f>
        <v>2785</v>
      </c>
      <c r="K32" s="4">
        <f>ROUND(G32*$K$6,0)</f>
        <v>13927</v>
      </c>
      <c r="L32" s="4">
        <f>G32*10%</f>
        <v>27854.2</v>
      </c>
      <c r="M32" s="4">
        <f>G32*10%</f>
        <v>27854.2</v>
      </c>
      <c r="N32" s="45">
        <f>H32</f>
        <v>50138</v>
      </c>
      <c r="O32" s="4"/>
      <c r="P32" s="4">
        <v>114180</v>
      </c>
      <c r="Q32" s="4">
        <f>ROUND(I32-SUM(J32:P32),)</f>
        <v>91942</v>
      </c>
      <c r="R32" s="18"/>
      <c r="S32" s="4" t="s">
        <v>8</v>
      </c>
      <c r="T32" s="4">
        <v>91942</v>
      </c>
      <c r="U32" s="4">
        <v>91942</v>
      </c>
      <c r="V32" s="19" t="s">
        <v>34</v>
      </c>
      <c r="W32" s="4">
        <f>SUM(Q32:Q36)-SUM(U32:U36)</f>
        <v>-217800</v>
      </c>
    </row>
    <row r="33" spans="1:156" ht="24.95" customHeight="1" x14ac:dyDescent="0.25">
      <c r="A33" s="12">
        <v>60185</v>
      </c>
      <c r="B33" s="16" t="s">
        <v>25</v>
      </c>
      <c r="C33" s="1">
        <v>45240</v>
      </c>
      <c r="D33" s="17">
        <v>5</v>
      </c>
      <c r="E33" s="4">
        <v>50138</v>
      </c>
      <c r="F33" s="4">
        <v>0</v>
      </c>
      <c r="G33" s="4">
        <f>E33-F33</f>
        <v>50138</v>
      </c>
      <c r="H33" s="4">
        <v>0</v>
      </c>
      <c r="I33" s="4">
        <f>G33+H33</f>
        <v>50138</v>
      </c>
      <c r="J33" s="4">
        <v>0</v>
      </c>
      <c r="K33" s="4">
        <v>0</v>
      </c>
      <c r="L33" s="4"/>
      <c r="M33" s="4"/>
      <c r="N33" s="4">
        <v>0</v>
      </c>
      <c r="O33" s="4"/>
      <c r="P33" s="4"/>
      <c r="Q33" s="45">
        <f>ROUND(I33-SUM(J33:N33),)</f>
        <v>50138</v>
      </c>
      <c r="R33" s="18"/>
      <c r="S33" s="4" t="s">
        <v>35</v>
      </c>
      <c r="T33" s="4">
        <v>80000</v>
      </c>
      <c r="U33" s="4">
        <f>T33-T33*1%</f>
        <v>79200</v>
      </c>
      <c r="V33" s="19" t="s">
        <v>36</v>
      </c>
      <c r="W33" s="4"/>
    </row>
    <row r="34" spans="1:156" ht="24.95" customHeight="1" x14ac:dyDescent="0.25">
      <c r="A34" s="12">
        <v>60185</v>
      </c>
      <c r="B34" s="16"/>
      <c r="C34" s="1"/>
      <c r="D34" s="17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18"/>
      <c r="S34" s="4" t="s">
        <v>38</v>
      </c>
      <c r="T34" s="4">
        <v>40000</v>
      </c>
      <c r="U34" s="4">
        <f>T34-T34*1%</f>
        <v>39600</v>
      </c>
      <c r="V34" s="19" t="s">
        <v>37</v>
      </c>
      <c r="W34" s="4"/>
    </row>
    <row r="35" spans="1:156" ht="24.95" customHeight="1" x14ac:dyDescent="0.25">
      <c r="A35" s="12">
        <v>60185</v>
      </c>
      <c r="B35" s="16"/>
      <c r="C35" s="1"/>
      <c r="D35" s="17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18"/>
      <c r="S35" s="4" t="s">
        <v>38</v>
      </c>
      <c r="T35" s="4">
        <v>50138</v>
      </c>
      <c r="U35" s="4">
        <f>T35</f>
        <v>50138</v>
      </c>
      <c r="V35" s="19" t="s">
        <v>58</v>
      </c>
      <c r="W35" s="4"/>
    </row>
    <row r="36" spans="1:156" ht="24.95" customHeight="1" x14ac:dyDescent="0.25">
      <c r="A36" s="12">
        <v>60185</v>
      </c>
      <c r="B36" s="16"/>
      <c r="C36" s="1"/>
      <c r="D36" s="17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18"/>
      <c r="S36" s="4" t="s">
        <v>91</v>
      </c>
      <c r="T36" s="4"/>
      <c r="U36" s="4">
        <v>99000</v>
      </c>
      <c r="V36" s="19" t="s">
        <v>90</v>
      </c>
      <c r="W36" s="4"/>
    </row>
    <row r="37" spans="1:156" ht="24.95" customHeight="1" x14ac:dyDescent="0.25">
      <c r="A37" s="13"/>
      <c r="B37" s="20"/>
      <c r="C37" s="10"/>
      <c r="D37" s="21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22">
        <f>A38</f>
        <v>61358</v>
      </c>
      <c r="S37" s="9"/>
      <c r="T37" s="9"/>
      <c r="U37" s="9"/>
      <c r="V37" s="13"/>
      <c r="W37" s="9"/>
    </row>
    <row r="38" spans="1:156" ht="24.95" customHeight="1" x14ac:dyDescent="0.25">
      <c r="A38" s="12">
        <v>61358</v>
      </c>
      <c r="B38" s="16" t="s">
        <v>150</v>
      </c>
      <c r="C38" s="1">
        <v>45286</v>
      </c>
      <c r="D38" s="17">
        <v>6</v>
      </c>
      <c r="E38" s="4">
        <v>345345</v>
      </c>
      <c r="F38" s="4">
        <v>183120</v>
      </c>
      <c r="G38" s="4">
        <f>E38-F38</f>
        <v>162225</v>
      </c>
      <c r="H38" s="4">
        <f>ROUND(G38*18%,0)</f>
        <v>29201</v>
      </c>
      <c r="I38" s="4">
        <f>G38+H38</f>
        <v>191426</v>
      </c>
      <c r="J38" s="4">
        <f>ROUND(G38*$J$6,0)</f>
        <v>1622</v>
      </c>
      <c r="K38" s="4">
        <f>ROUND(G38*$K$6,0)</f>
        <v>8111</v>
      </c>
      <c r="L38" s="4">
        <f>G38*10%</f>
        <v>16222.5</v>
      </c>
      <c r="M38" s="4">
        <f>G38*10%</f>
        <v>16222.5</v>
      </c>
      <c r="N38" s="45">
        <f>H38</f>
        <v>29201</v>
      </c>
      <c r="O38" s="4"/>
      <c r="P38" s="4"/>
      <c r="Q38" s="4">
        <f>ROUND(I38-SUM(J38:N38),)</f>
        <v>120047</v>
      </c>
      <c r="R38" s="18"/>
      <c r="S38" s="4" t="s">
        <v>44</v>
      </c>
      <c r="T38" s="4"/>
      <c r="U38" s="4">
        <v>120045</v>
      </c>
      <c r="V38" s="19" t="s">
        <v>43</v>
      </c>
      <c r="W38" s="4">
        <f>SUM(Q38:Q40)-SUM(U38:U40)</f>
        <v>-49497</v>
      </c>
    </row>
    <row r="39" spans="1:156" ht="24.95" customHeight="1" x14ac:dyDescent="0.25">
      <c r="A39" s="12">
        <v>61358</v>
      </c>
      <c r="B39" s="16" t="s">
        <v>50</v>
      </c>
      <c r="C39" s="1"/>
      <c r="D39" s="17">
        <v>6</v>
      </c>
      <c r="E39" s="4">
        <f>N38</f>
        <v>29201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5">
        <f>E39</f>
        <v>29201</v>
      </c>
      <c r="R39" s="18"/>
      <c r="S39" s="4" t="s">
        <v>56</v>
      </c>
      <c r="T39" s="4"/>
      <c r="U39" s="4">
        <v>29200</v>
      </c>
      <c r="V39" s="19" t="s">
        <v>54</v>
      </c>
      <c r="W39" s="4"/>
    </row>
    <row r="40" spans="1:156" ht="24.95" customHeight="1" x14ac:dyDescent="0.25">
      <c r="A40" s="12">
        <v>61358</v>
      </c>
      <c r="B40" s="16"/>
      <c r="C40" s="1"/>
      <c r="D40" s="17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18"/>
      <c r="S40" s="4"/>
      <c r="T40" s="4"/>
      <c r="U40" s="4">
        <v>49500</v>
      </c>
      <c r="V40" s="19" t="s">
        <v>80</v>
      </c>
      <c r="W40" s="4"/>
    </row>
    <row r="41" spans="1:156" ht="24.95" customHeight="1" x14ac:dyDescent="0.25">
      <c r="A41" s="13"/>
      <c r="B41" s="20"/>
      <c r="C41" s="10"/>
      <c r="D41" s="21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22">
        <f>A42</f>
        <v>61689</v>
      </c>
      <c r="S41" s="9"/>
      <c r="T41" s="9"/>
      <c r="U41" s="9"/>
      <c r="V41" s="13"/>
      <c r="W41" s="9"/>
    </row>
    <row r="42" spans="1:156" ht="24.95" customHeight="1" x14ac:dyDescent="0.25">
      <c r="A42" s="12">
        <v>61689</v>
      </c>
      <c r="B42" s="16" t="s">
        <v>151</v>
      </c>
      <c r="C42" s="1">
        <v>45299</v>
      </c>
      <c r="D42" s="17">
        <v>8</v>
      </c>
      <c r="E42" s="4">
        <v>239082</v>
      </c>
      <c r="F42" s="4">
        <v>114450</v>
      </c>
      <c r="G42" s="4">
        <f>E42-F42</f>
        <v>124632</v>
      </c>
      <c r="H42" s="4">
        <f>ROUND(G42*18%,0)</f>
        <v>22434</v>
      </c>
      <c r="I42" s="4">
        <f>G42+H42</f>
        <v>147066</v>
      </c>
      <c r="J42" s="4">
        <f>ROUND(G42*$J$6,0)</f>
        <v>1246</v>
      </c>
      <c r="K42" s="4">
        <f>ROUND(G42*$K$6,0)</f>
        <v>6232</v>
      </c>
      <c r="L42" s="4">
        <f>G42*10%</f>
        <v>12463.2</v>
      </c>
      <c r="M42" s="4">
        <f>G42*10%</f>
        <v>12463.2</v>
      </c>
      <c r="N42" s="45">
        <f>H42</f>
        <v>22434</v>
      </c>
      <c r="O42" s="4"/>
      <c r="P42" s="4"/>
      <c r="Q42" s="4">
        <f>ROUND(I42-SUM(J42:N42),)</f>
        <v>92228</v>
      </c>
      <c r="R42" s="18"/>
      <c r="S42" s="4" t="s">
        <v>46</v>
      </c>
      <c r="T42" s="4"/>
      <c r="U42" s="4">
        <v>92228</v>
      </c>
      <c r="V42" s="19" t="s">
        <v>45</v>
      </c>
      <c r="W42" s="4">
        <f>SUM(Q42:Q45)-SUM(U42:U45)</f>
        <v>-13100</v>
      </c>
    </row>
    <row r="43" spans="1:156" ht="24.95" customHeight="1" x14ac:dyDescent="0.25">
      <c r="A43" s="12">
        <v>61689</v>
      </c>
      <c r="B43" s="16" t="s">
        <v>50</v>
      </c>
      <c r="C43" s="1"/>
      <c r="D43" s="17">
        <v>8</v>
      </c>
      <c r="E43" s="4">
        <f>N42</f>
        <v>22434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5">
        <f>E43</f>
        <v>22434</v>
      </c>
      <c r="R43" s="18"/>
      <c r="S43" s="4" t="s">
        <v>55</v>
      </c>
      <c r="T43" s="4"/>
      <c r="U43" s="4">
        <v>22434</v>
      </c>
      <c r="V43" s="19" t="s">
        <v>53</v>
      </c>
      <c r="W43" s="4"/>
    </row>
    <row r="44" spans="1:156" ht="24.95" customHeight="1" x14ac:dyDescent="0.25">
      <c r="A44" s="12">
        <v>61689</v>
      </c>
      <c r="B44" s="16" t="s">
        <v>152</v>
      </c>
      <c r="C44" s="1"/>
      <c r="D44" s="17">
        <v>3</v>
      </c>
      <c r="E44" s="4">
        <v>64721</v>
      </c>
      <c r="F44" s="4"/>
      <c r="G44" s="4">
        <f>E44-F44</f>
        <v>64721</v>
      </c>
      <c r="H44" s="4">
        <f>ROUND(G44*18%,0)</f>
        <v>11650</v>
      </c>
      <c r="I44" s="4">
        <f>G44+H44</f>
        <v>76371</v>
      </c>
      <c r="J44" s="4">
        <f>ROUND(G44*$J$6,0)</f>
        <v>647</v>
      </c>
      <c r="K44" s="4">
        <f>ROUND(G44*$K$6,0)</f>
        <v>3236</v>
      </c>
      <c r="L44" s="4">
        <f>G44*10%</f>
        <v>6472.1</v>
      </c>
      <c r="M44" s="4">
        <f>G44*10%</f>
        <v>6472.1</v>
      </c>
      <c r="N44" s="45">
        <f>H44</f>
        <v>11650</v>
      </c>
      <c r="O44" s="4"/>
      <c r="P44" s="4"/>
      <c r="Q44" s="4">
        <f>ROUND(I44-SUM(J44:N44),)</f>
        <v>47894</v>
      </c>
      <c r="R44" s="18"/>
      <c r="S44" s="4"/>
      <c r="T44" s="4"/>
      <c r="U44" s="4">
        <v>47894</v>
      </c>
      <c r="V44" s="19" t="s">
        <v>70</v>
      </c>
      <c r="W44" s="4"/>
    </row>
    <row r="45" spans="1:156" ht="24.95" customHeight="1" x14ac:dyDescent="0.25">
      <c r="A45" s="12">
        <v>61689</v>
      </c>
      <c r="B45" s="16" t="s">
        <v>50</v>
      </c>
      <c r="C45" s="1"/>
      <c r="D45" s="17">
        <v>3</v>
      </c>
      <c r="E45" s="4">
        <f>N44</f>
        <v>11650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5">
        <f>E45</f>
        <v>11650</v>
      </c>
      <c r="R45" s="18"/>
      <c r="S45" s="4"/>
      <c r="T45" s="4"/>
      <c r="U45" s="4">
        <v>24750</v>
      </c>
      <c r="V45" s="19" t="s">
        <v>81</v>
      </c>
      <c r="W45" s="4"/>
    </row>
    <row r="46" spans="1:156" s="8" customFormat="1" ht="24.95" customHeight="1" x14ac:dyDescent="0.25">
      <c r="A46" s="13"/>
      <c r="B46" s="20"/>
      <c r="C46" s="10"/>
      <c r="D46" s="21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22">
        <f>A47</f>
        <v>61788</v>
      </c>
      <c r="S46" s="9"/>
      <c r="T46" s="9"/>
      <c r="U46" s="9"/>
      <c r="V46" s="13"/>
      <c r="W46" s="9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</row>
    <row r="47" spans="1:156" ht="24.95" customHeight="1" x14ac:dyDescent="0.25">
      <c r="A47" s="12">
        <v>61788</v>
      </c>
      <c r="B47" s="16" t="s">
        <v>153</v>
      </c>
      <c r="C47" s="1">
        <v>45304</v>
      </c>
      <c r="D47" s="17">
        <v>9</v>
      </c>
      <c r="E47" s="4">
        <v>309779.25</v>
      </c>
      <c r="F47" s="4">
        <v>0</v>
      </c>
      <c r="G47" s="4">
        <f>E47-F47</f>
        <v>309779.25</v>
      </c>
      <c r="H47" s="4">
        <f>G47*18%</f>
        <v>55760.264999999999</v>
      </c>
      <c r="I47" s="4">
        <f>G47+H47</f>
        <v>365539.51500000001</v>
      </c>
      <c r="J47" s="4">
        <f>G47*1%</f>
        <v>3097.7925</v>
      </c>
      <c r="K47" s="4">
        <f>G47*5%</f>
        <v>15488.962500000001</v>
      </c>
      <c r="L47" s="4">
        <f>G47*10%</f>
        <v>30977.925000000003</v>
      </c>
      <c r="M47" s="4">
        <f>G47*10%</f>
        <v>30977.925000000003</v>
      </c>
      <c r="N47" s="45">
        <f>H47</f>
        <v>55760.264999999999</v>
      </c>
      <c r="O47" s="4"/>
      <c r="P47" s="4">
        <v>0</v>
      </c>
      <c r="Q47" s="4">
        <f>I47-J47-K47-L47-M47-N47</f>
        <v>229236.64500000002</v>
      </c>
      <c r="R47" s="18"/>
      <c r="S47" s="4" t="s">
        <v>52</v>
      </c>
      <c r="T47" s="4"/>
      <c r="U47" s="4">
        <v>229233</v>
      </c>
      <c r="V47" s="19" t="s">
        <v>51</v>
      </c>
      <c r="W47" s="4">
        <f>SUM(Q47:Q48)-SUM(U47:U48)</f>
        <v>3.9100000000325963</v>
      </c>
    </row>
    <row r="48" spans="1:156" ht="24.95" customHeight="1" x14ac:dyDescent="0.25">
      <c r="A48" s="12">
        <v>61788</v>
      </c>
      <c r="B48" s="16" t="s">
        <v>50</v>
      </c>
      <c r="C48" s="1"/>
      <c r="D48" s="17">
        <v>9</v>
      </c>
      <c r="E48" s="4">
        <f>N47</f>
        <v>55760.264999999999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5">
        <f>E48</f>
        <v>55760.264999999999</v>
      </c>
      <c r="R48" s="18"/>
      <c r="S48" s="4" t="s">
        <v>63</v>
      </c>
      <c r="T48" s="4"/>
      <c r="U48" s="4">
        <v>55760</v>
      </c>
      <c r="V48" s="19" t="s">
        <v>62</v>
      </c>
      <c r="W48" s="4"/>
    </row>
    <row r="49" spans="1:156" s="8" customFormat="1" ht="24.95" customHeight="1" x14ac:dyDescent="0.25">
      <c r="A49" s="13"/>
      <c r="B49" s="20"/>
      <c r="C49" s="10"/>
      <c r="D49" s="21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22">
        <f>A50</f>
        <v>62405</v>
      </c>
      <c r="S49" s="9"/>
      <c r="T49" s="9"/>
      <c r="U49" s="9"/>
      <c r="V49" s="13"/>
      <c r="W49" s="9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</row>
    <row r="50" spans="1:156" ht="24.95" customHeight="1" x14ac:dyDescent="0.25">
      <c r="A50" s="12">
        <v>62405</v>
      </c>
      <c r="B50" s="16" t="s">
        <v>154</v>
      </c>
      <c r="C50" s="1">
        <v>45430</v>
      </c>
      <c r="D50" s="17">
        <v>1</v>
      </c>
      <c r="E50" s="4">
        <v>164935</v>
      </c>
      <c r="F50" s="4">
        <v>45780</v>
      </c>
      <c r="G50" s="4">
        <f>E50-F50</f>
        <v>119155</v>
      </c>
      <c r="H50" s="4">
        <f>G50*18%</f>
        <v>21447.899999999998</v>
      </c>
      <c r="I50" s="4">
        <f>G50+H50</f>
        <v>140602.9</v>
      </c>
      <c r="J50" s="4">
        <f>G50*1%</f>
        <v>1191.55</v>
      </c>
      <c r="K50" s="4">
        <f>G50*5%</f>
        <v>5957.75</v>
      </c>
      <c r="L50" s="4">
        <f>G50*10%</f>
        <v>11915.5</v>
      </c>
      <c r="M50" s="4">
        <f>G50*10%</f>
        <v>11915.5</v>
      </c>
      <c r="N50" s="45">
        <f>H50</f>
        <v>21447.899999999998</v>
      </c>
      <c r="O50" s="4"/>
      <c r="P50" s="4">
        <v>0</v>
      </c>
      <c r="Q50" s="4">
        <f>I50-J50-K50-L50-M50-N50</f>
        <v>88174.700000000012</v>
      </c>
      <c r="R50" s="18"/>
      <c r="S50" s="4"/>
      <c r="T50" s="4"/>
      <c r="U50" s="4">
        <v>198000</v>
      </c>
      <c r="V50" s="19" t="s">
        <v>69</v>
      </c>
      <c r="W50" s="4">
        <f>SUM(Q50:Q53)-SUM(U50:U53)</f>
        <v>8355.960000000021</v>
      </c>
    </row>
    <row r="51" spans="1:156" ht="24.95" customHeight="1" x14ac:dyDescent="0.25">
      <c r="A51" s="12">
        <v>62405</v>
      </c>
      <c r="B51" s="16" t="s">
        <v>145</v>
      </c>
      <c r="C51" s="1"/>
      <c r="D51" s="17">
        <v>1</v>
      </c>
      <c r="E51" s="4">
        <f>N50</f>
        <v>21447.899999999998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5">
        <f>E51</f>
        <v>21447.899999999998</v>
      </c>
      <c r="R51" s="18"/>
      <c r="S51" s="4"/>
      <c r="T51" s="4"/>
      <c r="U51" s="4">
        <v>144685</v>
      </c>
      <c r="V51" s="19" t="s">
        <v>131</v>
      </c>
      <c r="W51" s="4"/>
    </row>
    <row r="52" spans="1:156" ht="24.95" customHeight="1" x14ac:dyDescent="0.25">
      <c r="A52" s="12">
        <v>62405</v>
      </c>
      <c r="B52" s="16" t="s">
        <v>154</v>
      </c>
      <c r="C52" s="1">
        <v>45649</v>
      </c>
      <c r="D52" s="17">
        <v>27</v>
      </c>
      <c r="E52" s="4">
        <v>439308</v>
      </c>
      <c r="F52" s="4">
        <v>95375</v>
      </c>
      <c r="G52" s="4">
        <f>E52-F52</f>
        <v>343933</v>
      </c>
      <c r="H52" s="4">
        <f>G52*18%</f>
        <v>61907.939999999995</v>
      </c>
      <c r="I52" s="4">
        <f>G52+H52</f>
        <v>405840.94</v>
      </c>
      <c r="J52" s="4">
        <f>G52*1%</f>
        <v>3439.33</v>
      </c>
      <c r="K52" s="4">
        <f>G52*5%</f>
        <v>17196.650000000001</v>
      </c>
      <c r="L52" s="4">
        <f>G52*10%</f>
        <v>34393.300000000003</v>
      </c>
      <c r="M52" s="4">
        <f>G52*10%</f>
        <v>34393.300000000003</v>
      </c>
      <c r="N52" s="45">
        <f>H52</f>
        <v>61907.939999999995</v>
      </c>
      <c r="O52" s="4"/>
      <c r="P52" s="4">
        <v>0</v>
      </c>
      <c r="Q52" s="4">
        <f>I52-J52-K52-L52-M52-N52</f>
        <v>254510.41999999998</v>
      </c>
      <c r="R52" s="18"/>
      <c r="S52" s="4"/>
      <c r="T52" s="4"/>
      <c r="U52" s="4">
        <v>75000</v>
      </c>
      <c r="V52" s="19" t="s">
        <v>133</v>
      </c>
      <c r="W52" s="4"/>
    </row>
    <row r="53" spans="1:156" ht="24.95" customHeight="1" x14ac:dyDescent="0.25">
      <c r="A53" s="12">
        <v>62405</v>
      </c>
      <c r="B53" s="16" t="s">
        <v>50</v>
      </c>
      <c r="C53" s="1"/>
      <c r="D53" s="17">
        <v>27</v>
      </c>
      <c r="E53" s="4">
        <f>N52</f>
        <v>61907.939999999995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5">
        <f>E53</f>
        <v>61907.939999999995</v>
      </c>
      <c r="R53" s="18"/>
      <c r="S53" s="4"/>
      <c r="T53" s="4"/>
      <c r="U53" s="4"/>
      <c r="V53" s="19"/>
      <c r="W53" s="4"/>
    </row>
    <row r="54" spans="1:156" s="8" customFormat="1" ht="24.95" customHeight="1" x14ac:dyDescent="0.25">
      <c r="A54" s="13"/>
      <c r="B54" s="20"/>
      <c r="C54" s="10"/>
      <c r="D54" s="21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22">
        <f>A55</f>
        <v>63031</v>
      </c>
      <c r="S54" s="9"/>
      <c r="T54" s="9"/>
      <c r="U54" s="9"/>
      <c r="V54" s="13"/>
      <c r="W54" s="9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</row>
    <row r="55" spans="1:156" ht="24.95" customHeight="1" x14ac:dyDescent="0.25">
      <c r="A55" s="12">
        <v>63031</v>
      </c>
      <c r="B55" s="16" t="s">
        <v>155</v>
      </c>
      <c r="C55" s="1">
        <v>45484</v>
      </c>
      <c r="D55" s="17">
        <v>8</v>
      </c>
      <c r="E55" s="4">
        <v>530046</v>
      </c>
      <c r="F55" s="4">
        <v>83924</v>
      </c>
      <c r="G55" s="4">
        <f>E55-F55</f>
        <v>446122</v>
      </c>
      <c r="H55" s="4">
        <f>G55*18%</f>
        <v>80301.959999999992</v>
      </c>
      <c r="I55" s="4">
        <f>G55+H55</f>
        <v>526423.96</v>
      </c>
      <c r="J55" s="4">
        <f>G55*1%</f>
        <v>4461.22</v>
      </c>
      <c r="K55" s="4">
        <f>G55*5%</f>
        <v>22306.100000000002</v>
      </c>
      <c r="L55" s="4">
        <f>G55*10%</f>
        <v>44612.200000000004</v>
      </c>
      <c r="M55" s="4">
        <f>G55*10%</f>
        <v>44612.200000000004</v>
      </c>
      <c r="N55" s="45">
        <f>H55</f>
        <v>80301.959999999992</v>
      </c>
      <c r="O55" s="4"/>
      <c r="P55" s="4"/>
      <c r="Q55" s="4">
        <f>I55-J55-K55-L55-M55-N55</f>
        <v>330130.28000000003</v>
      </c>
      <c r="R55" s="18"/>
      <c r="S55" s="4"/>
      <c r="T55" s="4"/>
      <c r="U55" s="4">
        <v>99000</v>
      </c>
      <c r="V55" s="19" t="s">
        <v>66</v>
      </c>
      <c r="W55" s="4">
        <f>SUM(Q55:Q57)-SUM(U55:U57)</f>
        <v>12432.239999999991</v>
      </c>
    </row>
    <row r="56" spans="1:156" ht="24.95" customHeight="1" x14ac:dyDescent="0.25">
      <c r="A56" s="12">
        <v>63031</v>
      </c>
      <c r="B56" s="16" t="s">
        <v>145</v>
      </c>
      <c r="C56" s="1"/>
      <c r="D56" s="17">
        <v>8</v>
      </c>
      <c r="E56" s="4">
        <f>N55</f>
        <v>80301.959999999992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5">
        <f>E56</f>
        <v>80301.959999999992</v>
      </c>
      <c r="R56" s="18"/>
      <c r="S56" s="4"/>
      <c r="T56" s="4"/>
      <c r="U56" s="4">
        <v>200000</v>
      </c>
      <c r="V56" s="19" t="s">
        <v>73</v>
      </c>
      <c r="W56" s="4"/>
    </row>
    <row r="57" spans="1:156" ht="24.95" customHeight="1" x14ac:dyDescent="0.25">
      <c r="A57" s="12">
        <v>63031</v>
      </c>
      <c r="B57" s="16"/>
      <c r="C57" s="1"/>
      <c r="D57" s="17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5"/>
      <c r="R57" s="18"/>
      <c r="S57" s="4"/>
      <c r="T57" s="4"/>
      <c r="U57" s="4">
        <v>99000</v>
      </c>
      <c r="V57" s="19" t="s">
        <v>118</v>
      </c>
      <c r="W57" s="4"/>
    </row>
    <row r="58" spans="1:156" s="8" customFormat="1" ht="24.95" customHeight="1" x14ac:dyDescent="0.25">
      <c r="A58" s="13"/>
      <c r="B58" s="20"/>
      <c r="C58" s="10"/>
      <c r="D58" s="21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22">
        <f>A59</f>
        <v>63589</v>
      </c>
      <c r="S58" s="9"/>
      <c r="T58" s="9"/>
      <c r="U58" s="9"/>
      <c r="V58" s="13"/>
      <c r="W58" s="9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</row>
    <row r="59" spans="1:156" ht="24.95" customHeight="1" x14ac:dyDescent="0.25">
      <c r="A59" s="12">
        <v>63589</v>
      </c>
      <c r="B59" s="16" t="s">
        <v>156</v>
      </c>
      <c r="C59" s="1">
        <v>45377</v>
      </c>
      <c r="D59" s="17">
        <v>10</v>
      </c>
      <c r="E59" s="4">
        <v>465720.75</v>
      </c>
      <c r="F59" s="4">
        <f>57225-2.25</f>
        <v>57222.75</v>
      </c>
      <c r="G59" s="4">
        <f>E59-F59</f>
        <v>408498</v>
      </c>
      <c r="H59" s="4">
        <f>G59*18%</f>
        <v>73529.64</v>
      </c>
      <c r="I59" s="4">
        <f>G59+H59</f>
        <v>482027.64</v>
      </c>
      <c r="J59" s="4">
        <f>G59*1%</f>
        <v>4084.98</v>
      </c>
      <c r="K59" s="4">
        <f>G59*5%</f>
        <v>20424.900000000001</v>
      </c>
      <c r="L59" s="4">
        <f>G59*10%</f>
        <v>40849.800000000003</v>
      </c>
      <c r="M59" s="4">
        <f>G59*10%</f>
        <v>40849.800000000003</v>
      </c>
      <c r="N59" s="45">
        <f>H59</f>
        <v>73529.64</v>
      </c>
      <c r="O59" s="4">
        <f>G59*10%</f>
        <v>40849.800000000003</v>
      </c>
      <c r="P59" s="4">
        <f>6.25*825</f>
        <v>5156.25</v>
      </c>
      <c r="Q59" s="4">
        <f>I59-SUM(J59:P59)</f>
        <v>256282.47000000003</v>
      </c>
      <c r="R59" s="27"/>
      <c r="S59" s="4"/>
      <c r="T59" s="4"/>
      <c r="U59" s="4">
        <v>297000</v>
      </c>
      <c r="V59" s="19" t="s">
        <v>68</v>
      </c>
      <c r="W59" s="4">
        <f>SUM(Q59:Q60)-SUM(U59:U60)</f>
        <v>-41437.889999999956</v>
      </c>
    </row>
    <row r="60" spans="1:156" ht="24.95" customHeight="1" x14ac:dyDescent="0.25">
      <c r="A60" s="12">
        <v>63589</v>
      </c>
      <c r="B60" s="16" t="s">
        <v>145</v>
      </c>
      <c r="C60" s="1"/>
      <c r="D60" s="17">
        <v>10</v>
      </c>
      <c r="E60" s="4">
        <f>N59</f>
        <v>73529.64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5">
        <f>E60</f>
        <v>73529.64</v>
      </c>
      <c r="R60" s="18"/>
      <c r="S60" s="4"/>
      <c r="T60" s="4"/>
      <c r="U60" s="4">
        <v>74250</v>
      </c>
      <c r="V60" s="19" t="s">
        <v>84</v>
      </c>
      <c r="W60" s="4"/>
    </row>
    <row r="61" spans="1:156" s="8" customFormat="1" ht="24.95" customHeight="1" x14ac:dyDescent="0.25">
      <c r="A61" s="13"/>
      <c r="B61" s="20"/>
      <c r="C61" s="10"/>
      <c r="D61" s="21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22">
        <f>A62</f>
        <v>63821</v>
      </c>
      <c r="S61" s="9"/>
      <c r="T61" s="9"/>
      <c r="U61" s="9"/>
      <c r="V61" s="13"/>
      <c r="W61" s="9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</row>
    <row r="62" spans="1:156" ht="24.95" customHeight="1" x14ac:dyDescent="0.25">
      <c r="A62" s="12">
        <v>63821</v>
      </c>
      <c r="B62" s="16"/>
      <c r="C62" s="1"/>
      <c r="D62" s="17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18"/>
      <c r="S62" s="4"/>
      <c r="T62" s="4"/>
      <c r="U62" s="4">
        <v>148500</v>
      </c>
      <c r="V62" s="19" t="s">
        <v>85</v>
      </c>
      <c r="W62" s="4">
        <f>SUM(Q62:Q64)-SUM(U62:U64)</f>
        <v>-148500</v>
      </c>
    </row>
    <row r="63" spans="1:156" ht="24.95" customHeight="1" x14ac:dyDescent="0.25">
      <c r="A63" s="12"/>
      <c r="B63" s="16"/>
      <c r="C63" s="1"/>
      <c r="D63" s="17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18"/>
      <c r="S63" s="4"/>
      <c r="T63" s="4"/>
      <c r="U63" s="4"/>
      <c r="V63" s="19"/>
      <c r="W63" s="4"/>
    </row>
    <row r="64" spans="1:156" ht="24.95" customHeight="1" x14ac:dyDescent="0.25">
      <c r="A64" s="12"/>
      <c r="B64" s="16"/>
      <c r="C64" s="1"/>
      <c r="D64" s="17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18"/>
      <c r="S64" s="4"/>
      <c r="T64" s="4"/>
      <c r="U64" s="4"/>
      <c r="V64" s="19"/>
      <c r="W64" s="4"/>
    </row>
    <row r="65" spans="1:156" s="8" customFormat="1" ht="24.95" customHeight="1" x14ac:dyDescent="0.25">
      <c r="A65" s="13"/>
      <c r="B65" s="20"/>
      <c r="C65" s="10"/>
      <c r="D65" s="21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22">
        <f>A66</f>
        <v>63822</v>
      </c>
      <c r="S65" s="9"/>
      <c r="T65" s="9"/>
      <c r="U65" s="9"/>
      <c r="V65" s="13"/>
      <c r="W65" s="9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</row>
    <row r="66" spans="1:156" ht="24.95" customHeight="1" x14ac:dyDescent="0.25">
      <c r="A66" s="12">
        <v>63822</v>
      </c>
      <c r="B66" s="16" t="s">
        <v>157</v>
      </c>
      <c r="C66" s="1">
        <v>45430</v>
      </c>
      <c r="D66" s="17">
        <v>4</v>
      </c>
      <c r="E66" s="2">
        <v>394845</v>
      </c>
      <c r="F66" s="4">
        <v>372069</v>
      </c>
      <c r="G66" s="4">
        <f>E66-F66</f>
        <v>22776</v>
      </c>
      <c r="H66" s="43">
        <f>G66*18%</f>
        <v>4099.68</v>
      </c>
      <c r="I66" s="4">
        <f>G66+H66</f>
        <v>26875.68</v>
      </c>
      <c r="J66" s="4">
        <f>G66*1%</f>
        <v>227.76</v>
      </c>
      <c r="K66" s="4">
        <f>G66*5%</f>
        <v>1138.8</v>
      </c>
      <c r="L66" s="4">
        <f>G66*10%</f>
        <v>2277.6</v>
      </c>
      <c r="M66" s="4">
        <f>G66*10%</f>
        <v>2277.6</v>
      </c>
      <c r="N66" s="44">
        <f>H66</f>
        <v>4099.68</v>
      </c>
      <c r="O66" s="4"/>
      <c r="P66" s="4"/>
      <c r="Q66" s="4">
        <f>I66-SUM(J66:P66)</f>
        <v>16854.239999999998</v>
      </c>
      <c r="R66" s="18"/>
      <c r="S66" s="4"/>
      <c r="T66" s="4"/>
      <c r="U66" s="4">
        <v>24750</v>
      </c>
      <c r="V66" s="19" t="s">
        <v>82</v>
      </c>
      <c r="W66" s="4">
        <f>SUM(Q66:Q68)-SUM(U66:U68)</f>
        <v>-201796.08000000002</v>
      </c>
    </row>
    <row r="67" spans="1:156" ht="24.95" customHeight="1" x14ac:dyDescent="0.25">
      <c r="A67" s="12">
        <v>63822</v>
      </c>
      <c r="B67" s="16" t="s">
        <v>50</v>
      </c>
      <c r="C67" s="1"/>
      <c r="D67" s="17">
        <v>4</v>
      </c>
      <c r="E67" s="4">
        <f>N66</f>
        <v>4099.68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5">
        <f>E67</f>
        <v>4099.68</v>
      </c>
      <c r="R67" s="18"/>
      <c r="S67" s="4"/>
      <c r="T67" s="4"/>
      <c r="U67" s="4">
        <v>198000</v>
      </c>
      <c r="V67" s="19" t="s">
        <v>135</v>
      </c>
      <c r="W67" s="4"/>
    </row>
    <row r="68" spans="1:156" ht="24.95" customHeight="1" x14ac:dyDescent="0.25">
      <c r="A68" s="12">
        <v>63822</v>
      </c>
      <c r="B68" s="16"/>
      <c r="C68" s="1"/>
      <c r="D68" s="1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18"/>
      <c r="S68" s="4"/>
      <c r="T68" s="4"/>
      <c r="U68" s="4"/>
      <c r="V68" s="19"/>
      <c r="W68" s="4"/>
    </row>
    <row r="69" spans="1:156" ht="24.95" customHeight="1" x14ac:dyDescent="0.25">
      <c r="A69" s="13"/>
      <c r="B69" s="20"/>
      <c r="C69" s="10"/>
      <c r="D69" s="21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22">
        <f>A70</f>
        <v>63840</v>
      </c>
      <c r="S69" s="9"/>
      <c r="T69" s="9"/>
      <c r="U69" s="9"/>
      <c r="V69" s="13"/>
      <c r="W69" s="9"/>
    </row>
    <row r="70" spans="1:156" ht="24.95" customHeight="1" x14ac:dyDescent="0.25">
      <c r="A70" s="12">
        <v>63840</v>
      </c>
      <c r="B70" s="16" t="s">
        <v>158</v>
      </c>
      <c r="C70" s="1">
        <v>45430</v>
      </c>
      <c r="D70" s="17">
        <v>2</v>
      </c>
      <c r="E70" s="4">
        <v>66456</v>
      </c>
      <c r="F70" s="4">
        <v>7884</v>
      </c>
      <c r="G70" s="4">
        <f>E70-F70</f>
        <v>58572</v>
      </c>
      <c r="H70" s="4">
        <f>G70*18%</f>
        <v>10542.96</v>
      </c>
      <c r="I70" s="4">
        <f>G70+H70</f>
        <v>69114.959999999992</v>
      </c>
      <c r="J70" s="4">
        <f>G70*1%</f>
        <v>585.72</v>
      </c>
      <c r="K70" s="4">
        <f>G70*5%</f>
        <v>2928.6000000000004</v>
      </c>
      <c r="L70" s="4">
        <f>G70*10%</f>
        <v>5857.2000000000007</v>
      </c>
      <c r="M70" s="4">
        <f>G70*10%</f>
        <v>5857.2000000000007</v>
      </c>
      <c r="N70" s="45">
        <f>H70</f>
        <v>10542.96</v>
      </c>
      <c r="O70" s="4">
        <v>0</v>
      </c>
      <c r="P70" s="4">
        <v>0</v>
      </c>
      <c r="Q70" s="4">
        <f>I70-SUM(J70:P70)</f>
        <v>43343.279999999992</v>
      </c>
      <c r="R70" s="27"/>
      <c r="S70" s="4"/>
      <c r="T70" s="4"/>
      <c r="U70" s="4">
        <v>49500</v>
      </c>
      <c r="V70" s="19" t="s">
        <v>83</v>
      </c>
      <c r="W70" s="4">
        <f>SUM(Q70:Q71)-SUM(U70:U71)</f>
        <v>4386.2399999999907</v>
      </c>
    </row>
    <row r="71" spans="1:156" ht="24.95" customHeight="1" x14ac:dyDescent="0.25">
      <c r="A71" s="12">
        <v>63840</v>
      </c>
      <c r="B71" s="16" t="s">
        <v>145</v>
      </c>
      <c r="C71" s="1"/>
      <c r="D71" s="17">
        <v>2</v>
      </c>
      <c r="E71" s="4">
        <f>N70</f>
        <v>10542.96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5">
        <f>E71</f>
        <v>10542.96</v>
      </c>
      <c r="R71" s="18"/>
      <c r="S71" s="4"/>
      <c r="T71" s="4"/>
      <c r="U71" s="4"/>
      <c r="V71" s="19"/>
      <c r="W71" s="4"/>
    </row>
    <row r="72" spans="1:156" ht="24.95" customHeight="1" x14ac:dyDescent="0.25">
      <c r="A72" s="13"/>
      <c r="B72" s="20"/>
      <c r="C72" s="10"/>
      <c r="D72" s="21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22">
        <f>A73</f>
        <v>64618</v>
      </c>
      <c r="S72" s="9"/>
      <c r="T72" s="9"/>
      <c r="U72" s="9"/>
      <c r="V72" s="13"/>
      <c r="W72" s="9"/>
    </row>
    <row r="73" spans="1:156" ht="24.95" customHeight="1" x14ac:dyDescent="0.25">
      <c r="A73" s="12">
        <v>64618</v>
      </c>
      <c r="B73" s="16" t="s">
        <v>159</v>
      </c>
      <c r="C73" s="1">
        <v>45474</v>
      </c>
      <c r="D73" s="17">
        <v>5</v>
      </c>
      <c r="E73" s="4">
        <v>274172.25</v>
      </c>
      <c r="F73" s="4">
        <f>95375+1.25</f>
        <v>95376.25</v>
      </c>
      <c r="G73" s="4">
        <f>E73-F73</f>
        <v>178796</v>
      </c>
      <c r="H73" s="4">
        <f>G73*18%</f>
        <v>32183.279999999999</v>
      </c>
      <c r="I73" s="4">
        <f>G73+H73</f>
        <v>210979.28</v>
      </c>
      <c r="J73" s="4">
        <f>G73*1%</f>
        <v>1787.96</v>
      </c>
      <c r="K73" s="4">
        <f>G73*5%</f>
        <v>8939.8000000000011</v>
      </c>
      <c r="L73" s="4">
        <f>G73*10%</f>
        <v>17879.600000000002</v>
      </c>
      <c r="M73" s="4">
        <f>G73*10%</f>
        <v>17879.600000000002</v>
      </c>
      <c r="N73" s="45">
        <f>H73</f>
        <v>32183.279999999999</v>
      </c>
      <c r="O73" s="4">
        <v>0</v>
      </c>
      <c r="P73" s="4">
        <v>0</v>
      </c>
      <c r="Q73" s="4">
        <f>I73-SUM(J73:P73)</f>
        <v>132309.03999999998</v>
      </c>
      <c r="R73" s="18"/>
      <c r="S73" s="4"/>
      <c r="T73" s="4"/>
      <c r="U73" s="4">
        <v>148500</v>
      </c>
      <c r="V73" s="19" t="s">
        <v>74</v>
      </c>
      <c r="W73" s="4">
        <f>SUM(Q73:Q75)-SUM(U73:U75)</f>
        <v>15992.319999999978</v>
      </c>
    </row>
    <row r="74" spans="1:156" ht="24.95" customHeight="1" x14ac:dyDescent="0.25">
      <c r="A74" s="12">
        <v>64618</v>
      </c>
      <c r="B74" s="16" t="s">
        <v>145</v>
      </c>
      <c r="C74" s="1"/>
      <c r="D74" s="17">
        <v>5</v>
      </c>
      <c r="E74" s="4">
        <f>N73</f>
        <v>32183.279999999999</v>
      </c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5">
        <f>N73</f>
        <v>32183.279999999999</v>
      </c>
      <c r="R74" s="18"/>
      <c r="S74" s="4"/>
      <c r="T74" s="4"/>
      <c r="U74" s="4"/>
      <c r="V74" s="19"/>
      <c r="W74" s="4"/>
    </row>
    <row r="75" spans="1:156" ht="24.95" customHeight="1" x14ac:dyDescent="0.25">
      <c r="A75" s="12">
        <v>64618</v>
      </c>
      <c r="B75" s="16"/>
      <c r="C75" s="1"/>
      <c r="D75" s="1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18"/>
      <c r="S75" s="4"/>
      <c r="T75" s="4"/>
      <c r="U75" s="4"/>
      <c r="V75" s="19"/>
      <c r="W75" s="4"/>
    </row>
    <row r="76" spans="1:156" ht="24.95" customHeight="1" x14ac:dyDescent="0.25">
      <c r="A76" s="13"/>
      <c r="B76" s="20"/>
      <c r="C76" s="10"/>
      <c r="D76" s="21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22">
        <f>A77</f>
        <v>64568</v>
      </c>
      <c r="S76" s="9"/>
      <c r="T76" s="9"/>
      <c r="U76" s="9"/>
      <c r="V76" s="13"/>
      <c r="W76" s="9"/>
    </row>
    <row r="77" spans="1:156" ht="24.95" customHeight="1" x14ac:dyDescent="0.25">
      <c r="A77" s="12">
        <v>64568</v>
      </c>
      <c r="B77" s="16" t="s">
        <v>160</v>
      </c>
      <c r="C77" s="1">
        <v>45491</v>
      </c>
      <c r="D77" s="17">
        <v>12</v>
      </c>
      <c r="E77" s="4">
        <v>597663</v>
      </c>
      <c r="F77" s="4"/>
      <c r="G77" s="4">
        <f>E77-F77</f>
        <v>597663</v>
      </c>
      <c r="H77" s="4">
        <f>G77*18%</f>
        <v>107579.34</v>
      </c>
      <c r="I77" s="4">
        <f>G77+H77</f>
        <v>705242.34</v>
      </c>
      <c r="J77" s="4">
        <f>G77*1%</f>
        <v>5976.63</v>
      </c>
      <c r="K77" s="4">
        <f>G77*5%</f>
        <v>29883.15</v>
      </c>
      <c r="L77" s="4">
        <f>G77*10%</f>
        <v>59766.3</v>
      </c>
      <c r="M77" s="4">
        <f>G77*10%</f>
        <v>59766.3</v>
      </c>
      <c r="N77" s="45">
        <f>H77</f>
        <v>107579.34</v>
      </c>
      <c r="O77" s="4">
        <v>0</v>
      </c>
      <c r="P77" s="4"/>
      <c r="Q77" s="4">
        <f>I77-SUM(J77:P77)</f>
        <v>442270.62</v>
      </c>
      <c r="R77" s="18"/>
      <c r="S77" s="4"/>
      <c r="T77" s="4">
        <v>200000</v>
      </c>
      <c r="U77" s="4">
        <v>198000</v>
      </c>
      <c r="V77" s="46" t="s">
        <v>72</v>
      </c>
      <c r="W77" s="4">
        <f>SUM(Q77:Q81)-SUM(U77:U81)</f>
        <v>46176.560000000056</v>
      </c>
    </row>
    <row r="78" spans="1:156" ht="24.95" customHeight="1" x14ac:dyDescent="0.25">
      <c r="A78" s="12">
        <v>64568</v>
      </c>
      <c r="B78" s="16" t="s">
        <v>50</v>
      </c>
      <c r="C78" s="1"/>
      <c r="D78" s="17">
        <v>12</v>
      </c>
      <c r="E78" s="4">
        <f>N77</f>
        <v>107579.34</v>
      </c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5">
        <f>E78</f>
        <v>107579.34</v>
      </c>
      <c r="R78" s="18"/>
      <c r="S78" s="4"/>
      <c r="T78" s="4"/>
      <c r="U78" s="4">
        <v>250000</v>
      </c>
      <c r="V78" s="19" t="s">
        <v>71</v>
      </c>
      <c r="W78" s="4"/>
    </row>
    <row r="79" spans="1:156" ht="24.95" customHeight="1" x14ac:dyDescent="0.25">
      <c r="A79" s="12">
        <v>64568</v>
      </c>
      <c r="B79" s="16" t="s">
        <v>160</v>
      </c>
      <c r="C79" s="1">
        <v>45608</v>
      </c>
      <c r="D79" s="17">
        <v>21</v>
      </c>
      <c r="E79" s="4">
        <v>877602</v>
      </c>
      <c r="F79" s="4">
        <v>77247</v>
      </c>
      <c r="G79" s="4">
        <f>E79-F79</f>
        <v>800355</v>
      </c>
      <c r="H79" s="4">
        <f>G79*18%</f>
        <v>144063.9</v>
      </c>
      <c r="I79" s="4">
        <f>G79+H79</f>
        <v>944418.9</v>
      </c>
      <c r="J79" s="4">
        <f>G79*1%</f>
        <v>8003.55</v>
      </c>
      <c r="K79" s="4">
        <f>G79*5%</f>
        <v>40017.75</v>
      </c>
      <c r="L79" s="4">
        <f>G79*10%</f>
        <v>80035.5</v>
      </c>
      <c r="M79" s="4">
        <f>G79*10%</f>
        <v>80035.5</v>
      </c>
      <c r="N79" s="45">
        <f>H79</f>
        <v>144063.9</v>
      </c>
      <c r="O79" s="4">
        <v>0</v>
      </c>
      <c r="P79" s="4"/>
      <c r="Q79" s="4">
        <f>I79-SUM(J79:P79)</f>
        <v>592262.70000000007</v>
      </c>
      <c r="R79" s="18"/>
      <c r="S79" s="4"/>
      <c r="T79" s="4"/>
      <c r="U79" s="4">
        <v>198000</v>
      </c>
      <c r="V79" s="19" t="s">
        <v>75</v>
      </c>
      <c r="W79" s="4"/>
    </row>
    <row r="80" spans="1:156" ht="24.95" customHeight="1" x14ac:dyDescent="0.25">
      <c r="A80" s="12">
        <v>64568</v>
      </c>
      <c r="B80" s="16" t="s">
        <v>50</v>
      </c>
      <c r="C80" s="1"/>
      <c r="D80" s="17">
        <v>21</v>
      </c>
      <c r="E80" s="4">
        <f>N79</f>
        <v>144063.9</v>
      </c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5">
        <f>E80</f>
        <v>144063.9</v>
      </c>
      <c r="R80" s="18"/>
      <c r="S80" s="4"/>
      <c r="T80" s="4"/>
      <c r="U80" s="4">
        <v>297000</v>
      </c>
      <c r="V80" s="19" t="s">
        <v>117</v>
      </c>
      <c r="W80" s="4"/>
    </row>
    <row r="81" spans="1:23" ht="24.95" customHeight="1" x14ac:dyDescent="0.25">
      <c r="A81" s="12">
        <v>64568</v>
      </c>
      <c r="B81" s="16"/>
      <c r="C81" s="1"/>
      <c r="D81" s="1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5"/>
      <c r="R81" s="18"/>
      <c r="S81" s="4"/>
      <c r="T81" s="4"/>
      <c r="U81" s="4">
        <v>297000</v>
      </c>
      <c r="V81" s="19" t="s">
        <v>124</v>
      </c>
      <c r="W81" s="4"/>
    </row>
    <row r="82" spans="1:23" ht="24.95" customHeight="1" x14ac:dyDescent="0.25">
      <c r="A82" s="13"/>
      <c r="B82" s="20"/>
      <c r="C82" s="10"/>
      <c r="D82" s="21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22">
        <f>A83</f>
        <v>64616</v>
      </c>
      <c r="S82" s="9"/>
      <c r="T82" s="9"/>
      <c r="U82" s="9"/>
      <c r="V82" s="13"/>
      <c r="W82" s="9"/>
    </row>
    <row r="83" spans="1:23" ht="24.95" customHeight="1" x14ac:dyDescent="0.25">
      <c r="A83" s="12">
        <v>64616</v>
      </c>
      <c r="B83" s="16" t="s">
        <v>161</v>
      </c>
      <c r="C83" s="1">
        <v>45474</v>
      </c>
      <c r="D83" s="17">
        <v>6</v>
      </c>
      <c r="E83" s="4">
        <v>28050</v>
      </c>
      <c r="F83" s="4"/>
      <c r="G83" s="4">
        <f>E83-F83</f>
        <v>28050</v>
      </c>
      <c r="H83" s="4">
        <f>G83*18%</f>
        <v>5049</v>
      </c>
      <c r="I83" s="4">
        <f>G83+H83</f>
        <v>33099</v>
      </c>
      <c r="J83" s="4">
        <f>G83*1%</f>
        <v>280.5</v>
      </c>
      <c r="K83" s="4">
        <f>G83*5%</f>
        <v>1402.5</v>
      </c>
      <c r="L83" s="4">
        <f>G83*10%</f>
        <v>2805</v>
      </c>
      <c r="M83" s="4">
        <f>G83*10%</f>
        <v>2805</v>
      </c>
      <c r="N83" s="45">
        <f>H83</f>
        <v>5049</v>
      </c>
      <c r="O83" s="4">
        <v>0</v>
      </c>
      <c r="P83" s="4">
        <v>0</v>
      </c>
      <c r="Q83" s="4">
        <f>I83-SUM(J83:P83)</f>
        <v>20757</v>
      </c>
      <c r="R83" s="18"/>
      <c r="S83" s="4"/>
      <c r="T83" s="4"/>
      <c r="U83" s="4">
        <v>24750</v>
      </c>
      <c r="V83" s="19" t="s">
        <v>86</v>
      </c>
      <c r="W83" s="4">
        <f>SUM(Q83:Q85)-SUM(U83:U85)</f>
        <v>1056</v>
      </c>
    </row>
    <row r="84" spans="1:23" ht="24.95" customHeight="1" x14ac:dyDescent="0.25">
      <c r="A84" s="12">
        <v>64616</v>
      </c>
      <c r="B84" s="16" t="s">
        <v>50</v>
      </c>
      <c r="C84" s="1">
        <v>45474</v>
      </c>
      <c r="D84" s="17">
        <v>6</v>
      </c>
      <c r="E84" s="4">
        <f>N83</f>
        <v>5049</v>
      </c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5">
        <f>E84</f>
        <v>5049</v>
      </c>
      <c r="R84" s="18"/>
      <c r="S84" s="4"/>
      <c r="T84" s="4"/>
      <c r="U84" s="4"/>
      <c r="V84" s="19"/>
      <c r="W84" s="4"/>
    </row>
    <row r="85" spans="1:23" ht="24.95" customHeight="1" x14ac:dyDescent="0.25">
      <c r="A85" s="12">
        <v>64616</v>
      </c>
      <c r="B85" s="16"/>
      <c r="C85" s="1"/>
      <c r="D85" s="1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18"/>
      <c r="S85" s="4"/>
      <c r="T85" s="4"/>
      <c r="U85" s="4"/>
      <c r="V85" s="19"/>
      <c r="W85" s="4"/>
    </row>
    <row r="86" spans="1:23" ht="24.95" customHeight="1" x14ac:dyDescent="0.25">
      <c r="A86" s="13"/>
      <c r="B86" s="20"/>
      <c r="C86" s="10"/>
      <c r="D86" s="21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22">
        <f>A87</f>
        <v>64750</v>
      </c>
      <c r="S86" s="9"/>
      <c r="T86" s="9"/>
      <c r="U86" s="9"/>
      <c r="V86" s="13"/>
      <c r="W86" s="9"/>
    </row>
    <row r="87" spans="1:23" ht="24.95" customHeight="1" x14ac:dyDescent="0.25">
      <c r="A87" s="12">
        <v>64750</v>
      </c>
      <c r="B87" s="16" t="s">
        <v>162</v>
      </c>
      <c r="C87" s="1">
        <v>45477</v>
      </c>
      <c r="D87" s="17">
        <v>7</v>
      </c>
      <c r="E87" s="4">
        <v>82589</v>
      </c>
      <c r="F87" s="4"/>
      <c r="G87" s="4">
        <f>E87-F87</f>
        <v>82589</v>
      </c>
      <c r="H87" s="4">
        <f>G87*18%</f>
        <v>14866.019999999999</v>
      </c>
      <c r="I87" s="4">
        <f>G87+H87</f>
        <v>97455.02</v>
      </c>
      <c r="J87" s="4">
        <f>G87*1%</f>
        <v>825.89</v>
      </c>
      <c r="K87" s="4">
        <f>G87*5%</f>
        <v>4129.45</v>
      </c>
      <c r="L87" s="4">
        <f>G87*10%</f>
        <v>8258.9</v>
      </c>
      <c r="M87" s="4">
        <f>G87*10%</f>
        <v>8258.9</v>
      </c>
      <c r="N87" s="45">
        <f>H87</f>
        <v>14866.019999999999</v>
      </c>
      <c r="O87" s="4">
        <v>0</v>
      </c>
      <c r="P87" s="4">
        <v>0</v>
      </c>
      <c r="Q87" s="4">
        <f>I87-SUM(J87:P87)</f>
        <v>61115.860000000008</v>
      </c>
      <c r="R87" s="18"/>
      <c r="S87" s="4"/>
      <c r="T87" s="4"/>
      <c r="U87" s="4">
        <v>74250</v>
      </c>
      <c r="V87" s="19" t="s">
        <v>78</v>
      </c>
      <c r="W87" s="4">
        <f>SUM(Q87:Q89)-SUM(U87:U89)</f>
        <v>1731.8800000000047</v>
      </c>
    </row>
    <row r="88" spans="1:23" ht="24.95" customHeight="1" x14ac:dyDescent="0.25">
      <c r="A88" s="12">
        <v>64750</v>
      </c>
      <c r="B88" s="16" t="s">
        <v>50</v>
      </c>
      <c r="C88" s="1">
        <v>45477</v>
      </c>
      <c r="D88" s="17">
        <v>7</v>
      </c>
      <c r="E88" s="4">
        <f>N87</f>
        <v>14866.019999999999</v>
      </c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5">
        <f>E88</f>
        <v>14866.019999999999</v>
      </c>
      <c r="R88" s="18"/>
      <c r="S88" s="4"/>
      <c r="T88" s="4"/>
      <c r="U88" s="4"/>
      <c r="V88" s="19"/>
      <c r="W88" s="4"/>
    </row>
    <row r="89" spans="1:23" ht="24.95" customHeight="1" x14ac:dyDescent="0.25">
      <c r="A89" s="12">
        <v>64750</v>
      </c>
      <c r="B89" s="16"/>
      <c r="C89" s="1"/>
      <c r="D89" s="1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18"/>
      <c r="S89" s="4"/>
      <c r="T89" s="4"/>
      <c r="U89" s="4"/>
      <c r="V89" s="19"/>
      <c r="W89" s="4"/>
    </row>
    <row r="90" spans="1:23" ht="24.95" customHeight="1" x14ac:dyDescent="0.25">
      <c r="A90" s="13"/>
      <c r="B90" s="20"/>
      <c r="C90" s="10"/>
      <c r="D90" s="21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22">
        <f>A91</f>
        <v>65046</v>
      </c>
      <c r="S90" s="9"/>
      <c r="T90" s="9"/>
      <c r="U90" s="9"/>
      <c r="V90" s="13"/>
      <c r="W90" s="9"/>
    </row>
    <row r="91" spans="1:23" ht="24.95" customHeight="1" x14ac:dyDescent="0.25">
      <c r="A91" s="12">
        <v>65046</v>
      </c>
      <c r="B91" s="16" t="s">
        <v>163</v>
      </c>
      <c r="C91" s="1">
        <v>45417</v>
      </c>
      <c r="D91" s="17">
        <v>10</v>
      </c>
      <c r="E91" s="4">
        <v>36650</v>
      </c>
      <c r="F91" s="4"/>
      <c r="G91" s="4">
        <f>E91-F91</f>
        <v>36650</v>
      </c>
      <c r="H91" s="4">
        <f>G91*18%</f>
        <v>6597</v>
      </c>
      <c r="I91" s="4">
        <f>G91+H91</f>
        <v>43247</v>
      </c>
      <c r="J91" s="4">
        <f>G91*1%</f>
        <v>366.5</v>
      </c>
      <c r="K91" s="4">
        <f>G91*5%</f>
        <v>1832.5</v>
      </c>
      <c r="L91" s="4">
        <f>G91*10%</f>
        <v>3665</v>
      </c>
      <c r="M91" s="4">
        <f>G91*10%</f>
        <v>3665</v>
      </c>
      <c r="N91" s="45">
        <f>H91</f>
        <v>6597</v>
      </c>
      <c r="O91" s="4">
        <v>0</v>
      </c>
      <c r="P91" s="4">
        <v>0</v>
      </c>
      <c r="Q91" s="4">
        <f>I91-SUM(J91:P91)</f>
        <v>27121</v>
      </c>
      <c r="R91" s="18"/>
      <c r="S91" s="4"/>
      <c r="T91" s="4"/>
      <c r="U91" s="4">
        <v>24750</v>
      </c>
      <c r="V91" s="19" t="s">
        <v>87</v>
      </c>
      <c r="W91" s="4">
        <f>SUM(Q91:Q93)-SUM(U91:U93)</f>
        <v>8968</v>
      </c>
    </row>
    <row r="92" spans="1:23" ht="24.95" customHeight="1" x14ac:dyDescent="0.25">
      <c r="A92" s="12">
        <v>65046</v>
      </c>
      <c r="B92" s="16" t="s">
        <v>50</v>
      </c>
      <c r="C92" s="1"/>
      <c r="D92" s="17">
        <v>10</v>
      </c>
      <c r="E92" s="4">
        <f>N91</f>
        <v>6597</v>
      </c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5">
        <f>E92</f>
        <v>6597</v>
      </c>
      <c r="R92" s="18"/>
      <c r="S92" s="4"/>
      <c r="T92" s="4"/>
      <c r="U92" s="4"/>
      <c r="V92" s="19"/>
      <c r="W92" s="4"/>
    </row>
    <row r="93" spans="1:23" ht="24.95" customHeight="1" x14ac:dyDescent="0.25">
      <c r="A93" s="12">
        <v>65046</v>
      </c>
      <c r="B93" s="16"/>
      <c r="C93" s="1"/>
      <c r="D93" s="1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18"/>
      <c r="S93" s="4"/>
      <c r="T93" s="4"/>
      <c r="U93" s="4"/>
      <c r="V93" s="19"/>
      <c r="W93" s="4"/>
    </row>
    <row r="94" spans="1:23" ht="24.95" customHeight="1" x14ac:dyDescent="0.25">
      <c r="A94" s="13"/>
      <c r="B94" s="20"/>
      <c r="C94" s="10"/>
      <c r="D94" s="21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22">
        <f>A95</f>
        <v>65083</v>
      </c>
      <c r="S94" s="9"/>
      <c r="T94" s="9"/>
      <c r="U94" s="9"/>
      <c r="V94" s="13"/>
      <c r="W94" s="9"/>
    </row>
    <row r="95" spans="1:23" ht="24.95" customHeight="1" x14ac:dyDescent="0.25">
      <c r="A95" s="12">
        <v>65083</v>
      </c>
      <c r="B95" s="16" t="s">
        <v>164</v>
      </c>
      <c r="C95" s="1">
        <v>45490</v>
      </c>
      <c r="D95" s="17">
        <v>9</v>
      </c>
      <c r="E95" s="4">
        <v>159320</v>
      </c>
      <c r="F95" s="4"/>
      <c r="G95" s="4">
        <f>E95-F95</f>
        <v>159320</v>
      </c>
      <c r="H95" s="4">
        <f>G95*18%</f>
        <v>28677.599999999999</v>
      </c>
      <c r="I95" s="4">
        <f>G95+H95</f>
        <v>187997.6</v>
      </c>
      <c r="J95" s="4">
        <f>G95*1%</f>
        <v>1593.2</v>
      </c>
      <c r="K95" s="4">
        <f>G95*5%</f>
        <v>7966</v>
      </c>
      <c r="L95" s="4">
        <f>G95*10%</f>
        <v>15932</v>
      </c>
      <c r="M95" s="4">
        <f>G95*10%</f>
        <v>15932</v>
      </c>
      <c r="N95" s="45">
        <f>H95</f>
        <v>28677.599999999999</v>
      </c>
      <c r="O95" s="4">
        <v>0</v>
      </c>
      <c r="P95" s="4">
        <v>0</v>
      </c>
      <c r="Q95" s="4">
        <f>I95-SUM(J95:P95)</f>
        <v>117896.80000000002</v>
      </c>
      <c r="R95" s="18"/>
      <c r="S95" s="4"/>
      <c r="T95" s="4"/>
      <c r="U95" s="4">
        <v>99000</v>
      </c>
      <c r="V95" s="19" t="s">
        <v>76</v>
      </c>
      <c r="W95" s="4">
        <f>SUM(Q95:Q96)-SUM(U95:U96)</f>
        <v>22824.400000000023</v>
      </c>
    </row>
    <row r="96" spans="1:23" ht="24.95" customHeight="1" x14ac:dyDescent="0.25">
      <c r="A96" s="12">
        <v>65083</v>
      </c>
      <c r="B96" s="16" t="s">
        <v>50</v>
      </c>
      <c r="C96" s="1">
        <v>45490</v>
      </c>
      <c r="D96" s="17">
        <v>9</v>
      </c>
      <c r="E96" s="4">
        <f>N95</f>
        <v>28677.599999999999</v>
      </c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5">
        <f>E96</f>
        <v>28677.599999999999</v>
      </c>
      <c r="R96" s="18"/>
      <c r="S96" s="4"/>
      <c r="T96" s="4"/>
      <c r="U96" s="4">
        <v>24750</v>
      </c>
      <c r="V96" s="19" t="s">
        <v>88</v>
      </c>
      <c r="W96" s="4"/>
    </row>
    <row r="97" spans="1:23" ht="24.95" customHeight="1" x14ac:dyDescent="0.25">
      <c r="A97" s="13"/>
      <c r="B97" s="20"/>
      <c r="C97" s="10"/>
      <c r="D97" s="21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22">
        <f>A98</f>
        <v>65506</v>
      </c>
      <c r="S97" s="9"/>
      <c r="T97" s="9"/>
      <c r="U97" s="9"/>
      <c r="V97" s="13"/>
      <c r="W97" s="9"/>
    </row>
    <row r="98" spans="1:23" ht="24.95" customHeight="1" x14ac:dyDescent="0.25">
      <c r="A98" s="12">
        <v>65506</v>
      </c>
      <c r="B98" s="29" t="s">
        <v>165</v>
      </c>
      <c r="C98" s="1">
        <v>45518</v>
      </c>
      <c r="D98" s="17">
        <v>13</v>
      </c>
      <c r="E98" s="4">
        <v>458972</v>
      </c>
      <c r="F98" s="4">
        <v>171679</v>
      </c>
      <c r="G98" s="4">
        <f>E98-F98</f>
        <v>287293</v>
      </c>
      <c r="H98" s="4">
        <f>G98*18%</f>
        <v>51712.74</v>
      </c>
      <c r="I98" s="4">
        <f>G98+H98</f>
        <v>339005.74</v>
      </c>
      <c r="J98" s="4">
        <f>G98*1%</f>
        <v>2872.93</v>
      </c>
      <c r="K98" s="4">
        <f>G98*5%</f>
        <v>14364.650000000001</v>
      </c>
      <c r="L98" s="4">
        <f>G98*10%</f>
        <v>28729.300000000003</v>
      </c>
      <c r="M98" s="4">
        <f>G98*10%</f>
        <v>28729.300000000003</v>
      </c>
      <c r="N98" s="45">
        <f>H98</f>
        <v>51712.74</v>
      </c>
      <c r="O98" s="4">
        <v>0</v>
      </c>
      <c r="P98" s="4">
        <v>0</v>
      </c>
      <c r="Q98" s="4">
        <f>I98-SUM(J98:P98)</f>
        <v>212596.81999999998</v>
      </c>
      <c r="R98" s="18"/>
      <c r="S98" s="4"/>
      <c r="T98" s="4"/>
      <c r="U98" s="4">
        <v>99000</v>
      </c>
      <c r="V98" s="19" t="s">
        <v>77</v>
      </c>
      <c r="W98" s="4">
        <f>SUM(Q98:Q100)-SUM(U98:U100)</f>
        <v>-255440.44</v>
      </c>
    </row>
    <row r="99" spans="1:23" ht="24.95" customHeight="1" x14ac:dyDescent="0.25">
      <c r="A99" s="12">
        <v>65506</v>
      </c>
      <c r="B99" s="29" t="s">
        <v>50</v>
      </c>
      <c r="C99" s="30"/>
      <c r="D99" s="31">
        <v>13</v>
      </c>
      <c r="E99" s="15">
        <f>N98</f>
        <v>51712.74</v>
      </c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50">
        <f>E99</f>
        <v>51712.74</v>
      </c>
      <c r="R99" s="32"/>
      <c r="S99" s="15"/>
      <c r="T99" s="15"/>
      <c r="U99" s="15">
        <v>123750</v>
      </c>
      <c r="V99" s="33" t="s">
        <v>79</v>
      </c>
      <c r="W99" s="15"/>
    </row>
    <row r="100" spans="1:23" ht="24.95" customHeight="1" x14ac:dyDescent="0.25">
      <c r="A100" s="12">
        <v>65506</v>
      </c>
      <c r="B100" s="29"/>
      <c r="C100" s="30"/>
      <c r="D100" s="31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32"/>
      <c r="S100" s="15"/>
      <c r="T100" s="15"/>
      <c r="U100" s="15">
        <v>297000</v>
      </c>
      <c r="V100" s="33" t="s">
        <v>99</v>
      </c>
      <c r="W100" s="15"/>
    </row>
    <row r="101" spans="1:23" ht="24.95" customHeight="1" x14ac:dyDescent="0.25">
      <c r="A101" s="13"/>
      <c r="B101" s="20"/>
      <c r="C101" s="10"/>
      <c r="D101" s="21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22">
        <v>65913</v>
      </c>
      <c r="S101" s="9"/>
      <c r="T101" s="9"/>
      <c r="U101" s="9"/>
      <c r="V101" s="13"/>
      <c r="W101" s="9"/>
    </row>
    <row r="102" spans="1:23" ht="24.95" customHeight="1" x14ac:dyDescent="0.25">
      <c r="A102" s="36">
        <v>65913</v>
      </c>
      <c r="B102" s="29" t="s">
        <v>166</v>
      </c>
      <c r="C102" s="1">
        <v>45608</v>
      </c>
      <c r="D102" s="17">
        <v>20</v>
      </c>
      <c r="E102" s="4">
        <v>1105090</v>
      </c>
      <c r="F102" s="4">
        <v>0</v>
      </c>
      <c r="G102" s="4">
        <f>E102-F102</f>
        <v>1105090</v>
      </c>
      <c r="H102" s="4">
        <f>G102*18%</f>
        <v>198916.19999999998</v>
      </c>
      <c r="I102" s="4">
        <f>G102+H102</f>
        <v>1304006.2</v>
      </c>
      <c r="J102" s="4">
        <f>G102*1%</f>
        <v>11050.9</v>
      </c>
      <c r="K102" s="4">
        <f>G102*5%</f>
        <v>55254.5</v>
      </c>
      <c r="L102" s="4">
        <f>G102*10%</f>
        <v>110509</v>
      </c>
      <c r="M102" s="4">
        <f>G102*10%</f>
        <v>110509</v>
      </c>
      <c r="N102" s="45">
        <f>H102</f>
        <v>198916.19999999998</v>
      </c>
      <c r="O102" s="4">
        <v>0</v>
      </c>
      <c r="P102" s="4">
        <v>0</v>
      </c>
      <c r="Q102" s="4">
        <f>I102-SUM(J102:P102)</f>
        <v>817766.6</v>
      </c>
      <c r="R102" s="53" t="s">
        <v>116</v>
      </c>
      <c r="S102" s="15"/>
      <c r="T102" s="15"/>
      <c r="U102" s="15">
        <v>99000</v>
      </c>
      <c r="V102" s="33" t="s">
        <v>93</v>
      </c>
      <c r="W102" s="4">
        <f>SUM(Q102:Q108)-SUM(U102:U108)</f>
        <v>1932.7999999999302</v>
      </c>
    </row>
    <row r="103" spans="1:23" ht="24.95" customHeight="1" x14ac:dyDescent="0.25">
      <c r="A103" s="36">
        <v>65913</v>
      </c>
      <c r="B103" s="29" t="s">
        <v>50</v>
      </c>
      <c r="C103" s="30"/>
      <c r="D103" s="31">
        <v>20</v>
      </c>
      <c r="E103" s="15">
        <f>N102</f>
        <v>198916.19999999998</v>
      </c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50">
        <f>E103</f>
        <v>198916.19999999998</v>
      </c>
      <c r="R103" s="32"/>
      <c r="S103" s="15"/>
      <c r="T103" s="15"/>
      <c r="U103" s="15">
        <v>198000</v>
      </c>
      <c r="V103" s="33" t="s">
        <v>98</v>
      </c>
      <c r="W103" s="15"/>
    </row>
    <row r="104" spans="1:23" ht="24.95" customHeight="1" x14ac:dyDescent="0.25">
      <c r="A104" s="36">
        <v>65913</v>
      </c>
      <c r="B104" s="29"/>
      <c r="C104" s="30"/>
      <c r="D104" s="31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32"/>
      <c r="S104" s="15"/>
      <c r="T104" s="15"/>
      <c r="U104" s="15">
        <v>99000</v>
      </c>
      <c r="V104" s="33" t="s">
        <v>101</v>
      </c>
      <c r="W104" s="15"/>
    </row>
    <row r="105" spans="1:23" ht="24.95" customHeight="1" x14ac:dyDescent="0.25">
      <c r="A105" s="36">
        <v>65913</v>
      </c>
      <c r="B105" s="29"/>
      <c r="C105" s="30"/>
      <c r="D105" s="31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32"/>
      <c r="S105" s="15"/>
      <c r="T105" s="15"/>
      <c r="U105" s="15">
        <v>99000</v>
      </c>
      <c r="V105" s="33" t="s">
        <v>103</v>
      </c>
      <c r="W105" s="15"/>
    </row>
    <row r="106" spans="1:23" ht="24.95" customHeight="1" x14ac:dyDescent="0.25">
      <c r="A106" s="36">
        <v>65913</v>
      </c>
      <c r="B106" s="29"/>
      <c r="C106" s="30"/>
      <c r="D106" s="31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32"/>
      <c r="S106" s="15"/>
      <c r="T106" s="15"/>
      <c r="U106" s="15">
        <v>198000</v>
      </c>
      <c r="V106" s="33" t="s">
        <v>112</v>
      </c>
      <c r="W106" s="15"/>
    </row>
    <row r="107" spans="1:23" ht="24.95" customHeight="1" x14ac:dyDescent="0.25">
      <c r="A107" s="36">
        <v>65913</v>
      </c>
      <c r="B107" s="29"/>
      <c r="C107" s="30"/>
      <c r="D107" s="31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32"/>
      <c r="S107" s="15"/>
      <c r="T107" s="15"/>
      <c r="U107" s="15">
        <v>198000</v>
      </c>
      <c r="V107" s="33" t="s">
        <v>132</v>
      </c>
      <c r="W107" s="15"/>
    </row>
    <row r="108" spans="1:23" ht="24.95" customHeight="1" x14ac:dyDescent="0.25">
      <c r="A108" s="36">
        <v>65913</v>
      </c>
      <c r="B108" s="29"/>
      <c r="C108" s="30"/>
      <c r="D108" s="31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32"/>
      <c r="S108" s="15"/>
      <c r="T108" s="15"/>
      <c r="U108" s="15">
        <v>123750</v>
      </c>
      <c r="V108" s="33" t="s">
        <v>134</v>
      </c>
      <c r="W108" s="15"/>
    </row>
    <row r="109" spans="1:23" ht="24.95" customHeight="1" x14ac:dyDescent="0.25">
      <c r="A109" s="13"/>
      <c r="B109" s="20"/>
      <c r="C109" s="10"/>
      <c r="D109" s="21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22">
        <v>65914</v>
      </c>
      <c r="S109" s="9"/>
      <c r="T109" s="9"/>
      <c r="U109" s="9"/>
      <c r="V109" s="13"/>
      <c r="W109" s="9"/>
    </row>
    <row r="110" spans="1:23" ht="24.95" customHeight="1" x14ac:dyDescent="0.25">
      <c r="A110" s="36">
        <v>65914</v>
      </c>
      <c r="B110" s="29" t="s">
        <v>167</v>
      </c>
      <c r="C110" s="1">
        <v>45673</v>
      </c>
      <c r="D110" s="17">
        <v>32</v>
      </c>
      <c r="E110" s="4">
        <v>1129621</v>
      </c>
      <c r="F110" s="4">
        <v>114450</v>
      </c>
      <c r="G110" s="4">
        <f>E110-F110</f>
        <v>1015171</v>
      </c>
      <c r="H110" s="4">
        <f>G110*18%</f>
        <v>182730.78</v>
      </c>
      <c r="I110" s="4">
        <f>G110+H110</f>
        <v>1197901.78</v>
      </c>
      <c r="J110" s="4">
        <f>G110*1%</f>
        <v>10151.710000000001</v>
      </c>
      <c r="K110" s="4">
        <f>G110*5%</f>
        <v>50758.55</v>
      </c>
      <c r="L110" s="4">
        <f>G110*10%</f>
        <v>101517.1</v>
      </c>
      <c r="M110" s="4">
        <f>G110*10%</f>
        <v>101517.1</v>
      </c>
      <c r="N110" s="45">
        <f>H110</f>
        <v>182730.78</v>
      </c>
      <c r="O110" s="4">
        <v>0</v>
      </c>
      <c r="P110" s="4">
        <v>0</v>
      </c>
      <c r="Q110" s="4">
        <f>I110-SUM(J110:P110)</f>
        <v>751226.54</v>
      </c>
      <c r="R110" s="53" t="s">
        <v>116</v>
      </c>
      <c r="S110" s="15"/>
      <c r="T110" s="15"/>
      <c r="U110" s="15">
        <v>99000</v>
      </c>
      <c r="V110" s="33" t="s">
        <v>92</v>
      </c>
      <c r="W110" s="4">
        <f>SUM(Q110:Q115)-SUM(U110:U115)</f>
        <v>42957.320000000065</v>
      </c>
    </row>
    <row r="111" spans="1:23" ht="24.95" customHeight="1" x14ac:dyDescent="0.25">
      <c r="A111" s="36">
        <v>65914</v>
      </c>
      <c r="B111" s="29" t="s">
        <v>50</v>
      </c>
      <c r="C111" s="30"/>
      <c r="D111" s="31">
        <v>32</v>
      </c>
      <c r="E111" s="15">
        <f>N110</f>
        <v>182730.78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50">
        <f>E111</f>
        <v>182730.78</v>
      </c>
      <c r="R111" s="32"/>
      <c r="S111" s="15"/>
      <c r="T111" s="15"/>
      <c r="U111" s="15">
        <v>99000</v>
      </c>
      <c r="V111" s="33" t="s">
        <v>94</v>
      </c>
      <c r="W111" s="15"/>
    </row>
    <row r="112" spans="1:23" ht="24.95" customHeight="1" x14ac:dyDescent="0.25">
      <c r="A112" s="36">
        <v>65914</v>
      </c>
      <c r="B112" s="29"/>
      <c r="C112" s="30"/>
      <c r="D112" s="31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32"/>
      <c r="S112" s="15"/>
      <c r="T112" s="15"/>
      <c r="U112" s="15">
        <v>198000</v>
      </c>
      <c r="V112" s="15" t="s">
        <v>106</v>
      </c>
      <c r="W112" s="15"/>
    </row>
    <row r="113" spans="1:23" ht="24.95" customHeight="1" x14ac:dyDescent="0.25">
      <c r="A113" s="36">
        <v>65914</v>
      </c>
      <c r="B113" s="29"/>
      <c r="C113" s="30"/>
      <c r="D113" s="31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32"/>
      <c r="S113" s="15"/>
      <c r="T113" s="15"/>
      <c r="U113" s="15">
        <v>198000</v>
      </c>
      <c r="V113" s="15" t="s">
        <v>111</v>
      </c>
      <c r="W113" s="15"/>
    </row>
    <row r="114" spans="1:23" ht="24.95" customHeight="1" x14ac:dyDescent="0.25">
      <c r="A114" s="36">
        <v>65914</v>
      </c>
      <c r="B114" s="29"/>
      <c r="C114" s="30"/>
      <c r="D114" s="31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32"/>
      <c r="S114" s="15"/>
      <c r="T114" s="15"/>
      <c r="U114" s="15">
        <v>148500</v>
      </c>
      <c r="V114" s="15" t="s">
        <v>121</v>
      </c>
      <c r="W114" s="15"/>
    </row>
    <row r="115" spans="1:23" ht="24.95" customHeight="1" x14ac:dyDescent="0.25">
      <c r="A115" s="36">
        <v>65914</v>
      </c>
      <c r="B115" s="29"/>
      <c r="C115" s="30"/>
      <c r="D115" s="31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32"/>
      <c r="S115" s="15"/>
      <c r="T115" s="15"/>
      <c r="U115" s="15">
        <v>148500</v>
      </c>
      <c r="V115" s="15" t="s">
        <v>128</v>
      </c>
      <c r="W115" s="15"/>
    </row>
    <row r="116" spans="1:23" ht="24.95" customHeight="1" x14ac:dyDescent="0.25">
      <c r="A116" s="13"/>
      <c r="B116" s="20"/>
      <c r="C116" s="10"/>
      <c r="D116" s="21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22">
        <v>66065</v>
      </c>
      <c r="S116" s="9"/>
      <c r="T116" s="9"/>
      <c r="U116" s="9"/>
      <c r="V116" s="13"/>
      <c r="W116" s="9"/>
    </row>
    <row r="117" spans="1:23" ht="24.95" customHeight="1" x14ac:dyDescent="0.25">
      <c r="A117" s="36">
        <v>66065</v>
      </c>
      <c r="B117" s="29" t="s">
        <v>168</v>
      </c>
      <c r="C117" s="30">
        <v>45593</v>
      </c>
      <c r="D117" s="31">
        <v>18</v>
      </c>
      <c r="E117" s="15">
        <v>392713</v>
      </c>
      <c r="F117" s="15">
        <v>128606</v>
      </c>
      <c r="G117" s="4">
        <f>E117-F117</f>
        <v>264107</v>
      </c>
      <c r="H117" s="4">
        <f>G117*18%</f>
        <v>47539.259999999995</v>
      </c>
      <c r="I117" s="4">
        <f>G117+H117</f>
        <v>311646.26</v>
      </c>
      <c r="J117" s="4">
        <f>G117*1%</f>
        <v>2641.07</v>
      </c>
      <c r="K117" s="4">
        <f>G117*5%</f>
        <v>13205.35</v>
      </c>
      <c r="L117" s="4">
        <f>G117*10%</f>
        <v>26410.7</v>
      </c>
      <c r="M117" s="4">
        <f>G117*10%</f>
        <v>26410.7</v>
      </c>
      <c r="N117" s="45">
        <f>H117</f>
        <v>47539.259999999995</v>
      </c>
      <c r="O117" s="4">
        <v>0</v>
      </c>
      <c r="P117" s="4">
        <v>0</v>
      </c>
      <c r="Q117" s="4">
        <f>I117-SUM(J117:P117)</f>
        <v>195439.18</v>
      </c>
      <c r="R117" s="32"/>
      <c r="S117" s="15"/>
      <c r="T117" s="15"/>
      <c r="U117" s="15">
        <v>198000</v>
      </c>
      <c r="V117" s="33" t="s">
        <v>95</v>
      </c>
      <c r="W117" s="4">
        <f>SUM(Q117:Q118)-SUM(U117:U118)</f>
        <v>44978.44</v>
      </c>
    </row>
    <row r="118" spans="1:23" ht="24.95" customHeight="1" x14ac:dyDescent="0.25">
      <c r="A118" s="36">
        <v>66065</v>
      </c>
      <c r="B118" s="29" t="s">
        <v>50</v>
      </c>
      <c r="C118" s="30"/>
      <c r="D118" s="31">
        <v>18</v>
      </c>
      <c r="E118" s="15">
        <f>N117</f>
        <v>47539.259999999995</v>
      </c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45">
        <f>E118</f>
        <v>47539.259999999995</v>
      </c>
      <c r="R118" s="32"/>
      <c r="S118" s="15"/>
      <c r="T118" s="15"/>
      <c r="U118" s="15"/>
      <c r="V118" s="33"/>
      <c r="W118" s="15"/>
    </row>
    <row r="119" spans="1:23" ht="24.95" customHeight="1" x14ac:dyDescent="0.25">
      <c r="A119" s="13"/>
      <c r="B119" s="20"/>
      <c r="C119" s="10"/>
      <c r="D119" s="21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>
        <v>66067</v>
      </c>
      <c r="S119" s="9"/>
      <c r="T119" s="9"/>
      <c r="U119" s="9"/>
      <c r="V119" s="13"/>
      <c r="W119" s="9"/>
    </row>
    <row r="120" spans="1:23" ht="24.95" customHeight="1" x14ac:dyDescent="0.25">
      <c r="A120" s="36">
        <v>66067</v>
      </c>
      <c r="B120" s="29" t="s">
        <v>169</v>
      </c>
      <c r="C120" s="1">
        <v>45673</v>
      </c>
      <c r="D120" s="17">
        <v>30</v>
      </c>
      <c r="E120" s="4">
        <v>218438</v>
      </c>
      <c r="F120" s="4">
        <v>38150</v>
      </c>
      <c r="G120" s="4">
        <f>E120-F120</f>
        <v>180288</v>
      </c>
      <c r="H120" s="4">
        <f>G120*18%</f>
        <v>32451.84</v>
      </c>
      <c r="I120" s="4">
        <f>G120+H120</f>
        <v>212739.84</v>
      </c>
      <c r="J120" s="4">
        <f>G120*1%</f>
        <v>1802.88</v>
      </c>
      <c r="K120" s="4">
        <f>G120*5%</f>
        <v>9014.4</v>
      </c>
      <c r="L120" s="4">
        <f>G120*10%</f>
        <v>18028.8</v>
      </c>
      <c r="M120" s="4">
        <f>G120*10%</f>
        <v>18028.8</v>
      </c>
      <c r="N120" s="45">
        <f>H120</f>
        <v>32451.84</v>
      </c>
      <c r="O120" s="4">
        <v>0</v>
      </c>
      <c r="P120" s="4">
        <v>0</v>
      </c>
      <c r="Q120" s="4">
        <f>I120-SUM(J120:P120)</f>
        <v>133413.12</v>
      </c>
      <c r="R120" s="53" t="s">
        <v>116</v>
      </c>
      <c r="S120" s="15"/>
      <c r="T120" s="15"/>
      <c r="U120" s="15">
        <v>396000</v>
      </c>
      <c r="V120" s="33" t="s">
        <v>96</v>
      </c>
      <c r="W120" s="4">
        <f>SUM(Q120:Q121)-SUM(U120:U121)</f>
        <v>-378635.04000000004</v>
      </c>
    </row>
    <row r="121" spans="1:23" ht="24.95" customHeight="1" x14ac:dyDescent="0.25">
      <c r="A121" s="36">
        <v>66067</v>
      </c>
      <c r="B121" s="29" t="s">
        <v>50</v>
      </c>
      <c r="C121" s="30"/>
      <c r="D121" s="31">
        <v>30</v>
      </c>
      <c r="E121" s="15">
        <f>N120</f>
        <v>32451.84</v>
      </c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50">
        <f>E121</f>
        <v>32451.84</v>
      </c>
      <c r="R121" s="32"/>
      <c r="S121" s="15"/>
      <c r="T121" s="15"/>
      <c r="U121" s="15">
        <v>148500</v>
      </c>
      <c r="V121" s="33" t="s">
        <v>129</v>
      </c>
      <c r="W121" s="15"/>
    </row>
    <row r="122" spans="1:23" ht="24.95" customHeight="1" x14ac:dyDescent="0.25">
      <c r="A122" s="13"/>
      <c r="B122" s="20"/>
      <c r="C122" s="10"/>
      <c r="D122" s="21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22">
        <v>66068</v>
      </c>
      <c r="S122" s="9"/>
      <c r="T122" s="9"/>
      <c r="U122" s="9"/>
      <c r="V122" s="13"/>
      <c r="W122" s="9"/>
    </row>
    <row r="123" spans="1:23" ht="24.95" customHeight="1" x14ac:dyDescent="0.25">
      <c r="A123" s="36">
        <v>66068</v>
      </c>
      <c r="B123" s="52" t="s">
        <v>170</v>
      </c>
      <c r="C123" s="30">
        <v>45587</v>
      </c>
      <c r="D123" s="31">
        <v>15</v>
      </c>
      <c r="E123" s="15">
        <v>117933.75</v>
      </c>
      <c r="F123" s="15">
        <f>116358+6.75</f>
        <v>116364.75</v>
      </c>
      <c r="G123" s="4">
        <f>E123-F123</f>
        <v>1569</v>
      </c>
      <c r="H123" s="4">
        <f>G123*18%</f>
        <v>282.42</v>
      </c>
      <c r="I123" s="4">
        <f>G123+H123</f>
        <v>1851.42</v>
      </c>
      <c r="J123" s="4">
        <f>G123*1%</f>
        <v>15.69</v>
      </c>
      <c r="K123" s="4">
        <f>G123*5%</f>
        <v>78.45</v>
      </c>
      <c r="L123" s="4">
        <f>G123*10%</f>
        <v>156.9</v>
      </c>
      <c r="M123" s="4">
        <f>G123*10%</f>
        <v>156.9</v>
      </c>
      <c r="N123" s="45">
        <f>H123</f>
        <v>282.42</v>
      </c>
      <c r="O123" s="4">
        <v>0</v>
      </c>
      <c r="P123" s="4">
        <v>0</v>
      </c>
      <c r="Q123" s="4">
        <f>I123-SUM(J123:P123)</f>
        <v>1161.06</v>
      </c>
      <c r="R123" s="32"/>
      <c r="S123" s="15"/>
      <c r="T123" s="15"/>
      <c r="U123" s="15">
        <v>396000</v>
      </c>
      <c r="V123" s="33" t="s">
        <v>102</v>
      </c>
      <c r="W123" s="4">
        <f>SUM(Q123:Q124)-SUM(U123:U124)</f>
        <v>-394556.52</v>
      </c>
    </row>
    <row r="124" spans="1:23" ht="24.95" customHeight="1" x14ac:dyDescent="0.25">
      <c r="A124" s="36">
        <v>66068</v>
      </c>
      <c r="B124" s="29" t="s">
        <v>50</v>
      </c>
      <c r="C124" s="30"/>
      <c r="D124" s="31">
        <v>15</v>
      </c>
      <c r="E124" s="15">
        <f>N123</f>
        <v>282.42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45">
        <f>E124</f>
        <v>282.42</v>
      </c>
      <c r="R124" s="32"/>
      <c r="S124" s="15"/>
      <c r="T124" s="15"/>
      <c r="U124" s="15"/>
      <c r="V124" s="33"/>
      <c r="W124" s="15"/>
    </row>
    <row r="125" spans="1:23" ht="24.95" customHeight="1" x14ac:dyDescent="0.25">
      <c r="A125" s="13"/>
      <c r="B125" s="20"/>
      <c r="C125" s="10"/>
      <c r="D125" s="21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22">
        <v>66030</v>
      </c>
      <c r="S125" s="9"/>
      <c r="T125" s="9"/>
      <c r="U125" s="9"/>
      <c r="V125" s="13"/>
      <c r="W125" s="9"/>
    </row>
    <row r="126" spans="1:23" ht="24.95" customHeight="1" x14ac:dyDescent="0.25">
      <c r="A126" s="36">
        <v>66030</v>
      </c>
      <c r="B126" s="29" t="s">
        <v>171</v>
      </c>
      <c r="C126" s="1">
        <v>45673</v>
      </c>
      <c r="D126" s="17">
        <v>31</v>
      </c>
      <c r="E126" s="4">
        <v>342628</v>
      </c>
      <c r="F126" s="4">
        <v>45780</v>
      </c>
      <c r="G126" s="4">
        <f>E126-F126</f>
        <v>296848</v>
      </c>
      <c r="H126" s="4">
        <f>G126*18%</f>
        <v>53432.639999999999</v>
      </c>
      <c r="I126" s="4">
        <f>G126+H126</f>
        <v>350280.64</v>
      </c>
      <c r="J126" s="4">
        <f>G126*1%</f>
        <v>2968.48</v>
      </c>
      <c r="K126" s="4">
        <f>G126*5%</f>
        <v>14842.400000000001</v>
      </c>
      <c r="L126" s="4">
        <f>G126*10%</f>
        <v>29684.800000000003</v>
      </c>
      <c r="M126" s="4">
        <f>G126*10%</f>
        <v>29684.800000000003</v>
      </c>
      <c r="N126" s="45">
        <f>H126</f>
        <v>53432.639999999999</v>
      </c>
      <c r="O126" s="4">
        <v>0</v>
      </c>
      <c r="P126" s="4">
        <v>0</v>
      </c>
      <c r="Q126" s="4">
        <f>I126-SUM(J126:P126)</f>
        <v>219667.52000000002</v>
      </c>
      <c r="R126" s="53" t="s">
        <v>116</v>
      </c>
      <c r="S126" s="15"/>
      <c r="T126" s="15"/>
      <c r="U126" s="15">
        <v>99000</v>
      </c>
      <c r="V126" s="33" t="s">
        <v>97</v>
      </c>
      <c r="W126" s="4">
        <f>SUM(Q126:Q128)-SUM(U126:U128)</f>
        <v>-225832.47999999998</v>
      </c>
    </row>
    <row r="127" spans="1:23" ht="24.95" customHeight="1" x14ac:dyDescent="0.25">
      <c r="A127" s="36">
        <v>66030</v>
      </c>
      <c r="B127" s="29"/>
      <c r="C127" s="30"/>
      <c r="D127" s="31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32"/>
      <c r="S127" s="15"/>
      <c r="T127" s="15"/>
      <c r="U127" s="15">
        <v>198000</v>
      </c>
      <c r="V127" s="33" t="s">
        <v>105</v>
      </c>
      <c r="W127" s="15"/>
    </row>
    <row r="128" spans="1:23" ht="24.95" customHeight="1" x14ac:dyDescent="0.25">
      <c r="A128" s="36">
        <v>66030</v>
      </c>
      <c r="B128" s="29"/>
      <c r="C128" s="30"/>
      <c r="D128" s="31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32"/>
      <c r="S128" s="15"/>
      <c r="T128" s="15"/>
      <c r="U128" s="15">
        <v>148500</v>
      </c>
      <c r="V128" s="33" t="s">
        <v>126</v>
      </c>
      <c r="W128" s="15"/>
    </row>
    <row r="129" spans="1:23" ht="24.95" customHeight="1" x14ac:dyDescent="0.25">
      <c r="A129" s="13"/>
      <c r="B129" s="20"/>
      <c r="C129" s="10"/>
      <c r="D129" s="21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22">
        <v>66155</v>
      </c>
      <c r="S129" s="9"/>
      <c r="T129" s="9"/>
      <c r="U129" s="9"/>
      <c r="V129" s="13"/>
      <c r="W129" s="9"/>
    </row>
    <row r="130" spans="1:23" ht="24.95" customHeight="1" x14ac:dyDescent="0.25">
      <c r="A130" s="36">
        <v>66155</v>
      </c>
      <c r="B130" s="29" t="s">
        <v>172</v>
      </c>
      <c r="C130" s="30">
        <v>45593</v>
      </c>
      <c r="D130" s="31">
        <v>19</v>
      </c>
      <c r="E130" s="15">
        <v>599007.75</v>
      </c>
      <c r="F130" s="15">
        <f>114450+5.75</f>
        <v>114455.75</v>
      </c>
      <c r="G130" s="4">
        <f>E130-F130</f>
        <v>484552</v>
      </c>
      <c r="H130" s="4">
        <f>G130*18%</f>
        <v>87219.36</v>
      </c>
      <c r="I130" s="4">
        <f>G130+H130</f>
        <v>571771.36</v>
      </c>
      <c r="J130" s="4">
        <f>G130*1%</f>
        <v>4845.5200000000004</v>
      </c>
      <c r="K130" s="4">
        <f>G130*5%</f>
        <v>24227.600000000002</v>
      </c>
      <c r="L130" s="4">
        <f>G130*10%</f>
        <v>48455.200000000004</v>
      </c>
      <c r="M130" s="4">
        <f>G130*10%</f>
        <v>48455.200000000004</v>
      </c>
      <c r="N130" s="45">
        <f>H130</f>
        <v>87219.36</v>
      </c>
      <c r="O130" s="4">
        <v>0</v>
      </c>
      <c r="P130" s="4">
        <v>0</v>
      </c>
      <c r="Q130" s="4">
        <f>I130-SUM(J130:P130)</f>
        <v>358568.48</v>
      </c>
      <c r="R130" s="53"/>
      <c r="S130" s="15"/>
      <c r="T130" s="15"/>
      <c r="U130" s="15">
        <v>396000</v>
      </c>
      <c r="V130" s="33" t="s">
        <v>104</v>
      </c>
      <c r="W130" s="4">
        <f>SUM(Q130:Q135)-SUM(U130:U135)</f>
        <v>-280085.42000000016</v>
      </c>
    </row>
    <row r="131" spans="1:23" ht="24.95" customHeight="1" x14ac:dyDescent="0.25">
      <c r="A131" s="36">
        <v>66155</v>
      </c>
      <c r="B131" s="29" t="s">
        <v>172</v>
      </c>
      <c r="C131" s="30">
        <v>45630</v>
      </c>
      <c r="D131" s="31">
        <v>23</v>
      </c>
      <c r="E131" s="15">
        <v>311306</v>
      </c>
      <c r="F131" s="15">
        <v>57225</v>
      </c>
      <c r="G131" s="4">
        <f>E131-F131</f>
        <v>254081</v>
      </c>
      <c r="H131" s="4">
        <f>G131*18%</f>
        <v>45734.58</v>
      </c>
      <c r="I131" s="4">
        <f>G131+H131</f>
        <v>299815.58</v>
      </c>
      <c r="J131" s="4">
        <f>G131*1%</f>
        <v>2540.81</v>
      </c>
      <c r="K131" s="4">
        <f>G131*5%</f>
        <v>12704.050000000001</v>
      </c>
      <c r="L131" s="4">
        <f>G131*10%</f>
        <v>25408.100000000002</v>
      </c>
      <c r="M131" s="4">
        <f>G131*10%</f>
        <v>25408.100000000002</v>
      </c>
      <c r="N131" s="45">
        <f>H131</f>
        <v>45734.58</v>
      </c>
      <c r="O131" s="4">
        <v>0</v>
      </c>
      <c r="P131" s="4">
        <v>0</v>
      </c>
      <c r="Q131" s="4">
        <f>I131-SUM(J131:P131)</f>
        <v>188019.94</v>
      </c>
      <c r="R131" s="32"/>
      <c r="S131" s="15"/>
      <c r="T131" s="15"/>
      <c r="U131" s="15">
        <v>297000</v>
      </c>
      <c r="V131" s="33" t="s">
        <v>108</v>
      </c>
      <c r="W131" s="15"/>
    </row>
    <row r="132" spans="1:23" ht="24.95" customHeight="1" x14ac:dyDescent="0.25">
      <c r="A132" s="36">
        <v>66155</v>
      </c>
      <c r="B132" s="29" t="s">
        <v>50</v>
      </c>
      <c r="C132" s="30"/>
      <c r="D132" s="31">
        <v>19</v>
      </c>
      <c r="E132" s="15">
        <f>N130</f>
        <v>87219.36</v>
      </c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50">
        <f>E132</f>
        <v>87219.36</v>
      </c>
      <c r="R132" s="32"/>
      <c r="S132" s="15"/>
      <c r="T132" s="15"/>
      <c r="U132" s="15">
        <v>148500</v>
      </c>
      <c r="V132" s="33" t="s">
        <v>114</v>
      </c>
      <c r="W132" s="15"/>
    </row>
    <row r="133" spans="1:23" ht="24.95" customHeight="1" x14ac:dyDescent="0.25">
      <c r="A133" s="36">
        <v>66155</v>
      </c>
      <c r="B133" s="29" t="s">
        <v>50</v>
      </c>
      <c r="C133" s="30"/>
      <c r="D133" s="31">
        <v>23</v>
      </c>
      <c r="E133" s="15">
        <f>N131</f>
        <v>45734.58</v>
      </c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50">
        <f>E133</f>
        <v>45734.58</v>
      </c>
      <c r="R133" s="32"/>
      <c r="S133" s="15"/>
      <c r="T133" s="15"/>
      <c r="U133" s="15">
        <v>396000</v>
      </c>
      <c r="V133" s="33" t="s">
        <v>119</v>
      </c>
      <c r="W133" s="15"/>
    </row>
    <row r="134" spans="1:23" ht="24.95" customHeight="1" x14ac:dyDescent="0.25">
      <c r="A134" s="36">
        <v>66155</v>
      </c>
      <c r="B134" s="29" t="s">
        <v>172</v>
      </c>
      <c r="C134" s="30">
        <v>45716</v>
      </c>
      <c r="D134" s="31">
        <v>33</v>
      </c>
      <c r="E134" s="15">
        <v>375507</v>
      </c>
      <c r="F134" s="15">
        <v>4</v>
      </c>
      <c r="G134" s="15">
        <f>E134-F134</f>
        <v>375503</v>
      </c>
      <c r="H134" s="15">
        <f>G134*18%</f>
        <v>67590.539999999994</v>
      </c>
      <c r="I134" s="15">
        <f>G134+H134</f>
        <v>443093.54</v>
      </c>
      <c r="J134" s="15">
        <f>G134*1%</f>
        <v>3755.03</v>
      </c>
      <c r="K134" s="15">
        <f>G134*5%</f>
        <v>18775.150000000001</v>
      </c>
      <c r="L134" s="15">
        <f>G134*10%</f>
        <v>37550.300000000003</v>
      </c>
      <c r="M134" s="15">
        <f>G134*10%</f>
        <v>37550.300000000003</v>
      </c>
      <c r="N134" s="15">
        <f>H134</f>
        <v>67590.539999999994</v>
      </c>
      <c r="O134" s="15">
        <v>0</v>
      </c>
      <c r="P134" s="15">
        <v>0</v>
      </c>
      <c r="Q134" s="15">
        <f>I134-SUM(J134:P134)</f>
        <v>277872.21999999997</v>
      </c>
      <c r="R134" s="32"/>
      <c r="S134" s="15"/>
      <c r="T134" s="15"/>
      <c r="U134" s="15"/>
      <c r="V134" s="33"/>
      <c r="W134" s="15"/>
    </row>
    <row r="135" spans="1:23" ht="24.95" customHeight="1" x14ac:dyDescent="0.25">
      <c r="A135" s="36">
        <v>66155</v>
      </c>
      <c r="B135" s="29"/>
      <c r="C135" s="30"/>
      <c r="D135" s="31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32"/>
      <c r="S135" s="15"/>
      <c r="T135" s="15"/>
      <c r="U135" s="15"/>
      <c r="V135" s="33"/>
      <c r="W135" s="15"/>
    </row>
    <row r="136" spans="1:23" ht="24.95" customHeight="1" x14ac:dyDescent="0.25">
      <c r="A136" s="13"/>
      <c r="B136" s="20"/>
      <c r="C136" s="10"/>
      <c r="D136" s="21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22">
        <v>66288</v>
      </c>
      <c r="S136" s="9"/>
      <c r="T136" s="9"/>
      <c r="U136" s="9"/>
      <c r="V136" s="13"/>
      <c r="W136" s="9"/>
    </row>
    <row r="137" spans="1:23" ht="24.95" customHeight="1" x14ac:dyDescent="0.25">
      <c r="A137" s="36">
        <v>66288</v>
      </c>
      <c r="B137" s="29" t="s">
        <v>173</v>
      </c>
      <c r="C137" s="30">
        <v>45593</v>
      </c>
      <c r="D137" s="31">
        <v>17</v>
      </c>
      <c r="E137" s="15">
        <v>523682</v>
      </c>
      <c r="F137" s="15">
        <v>114450</v>
      </c>
      <c r="G137" s="4">
        <f>E137-F137</f>
        <v>409232</v>
      </c>
      <c r="H137" s="4">
        <f>G137*18%</f>
        <v>73661.759999999995</v>
      </c>
      <c r="I137" s="4">
        <f>G137+H137</f>
        <v>482893.76</v>
      </c>
      <c r="J137" s="4">
        <f>G137*1%</f>
        <v>4092.32</v>
      </c>
      <c r="K137" s="4">
        <f>G137*5%</f>
        <v>20461.600000000002</v>
      </c>
      <c r="L137" s="4">
        <f>G137*10%</f>
        <v>40923.200000000004</v>
      </c>
      <c r="M137" s="4">
        <f>G137*10%</f>
        <v>40923.200000000004</v>
      </c>
      <c r="N137" s="45">
        <f>H137</f>
        <v>73661.759999999995</v>
      </c>
      <c r="O137" s="4">
        <v>0</v>
      </c>
      <c r="P137" s="4">
        <v>0</v>
      </c>
      <c r="Q137" s="4">
        <f>I137-SUM(J137:P137)</f>
        <v>302831.68</v>
      </c>
      <c r="R137" s="32"/>
      <c r="S137" s="15"/>
      <c r="T137" s="15"/>
      <c r="U137" s="15">
        <v>99000</v>
      </c>
      <c r="V137" s="15" t="s">
        <v>107</v>
      </c>
      <c r="W137" s="4">
        <f>SUM(Q137:Q144)-SUM(U137:U144)</f>
        <v>-47028.179999999935</v>
      </c>
    </row>
    <row r="138" spans="1:23" ht="24.95" customHeight="1" x14ac:dyDescent="0.25">
      <c r="A138" s="36">
        <v>66288</v>
      </c>
      <c r="B138" s="29" t="s">
        <v>173</v>
      </c>
      <c r="C138" s="30">
        <v>45617</v>
      </c>
      <c r="D138" s="31">
        <v>22</v>
      </c>
      <c r="E138" s="15">
        <v>560215</v>
      </c>
      <c r="F138" s="15">
        <v>171675</v>
      </c>
      <c r="G138" s="4">
        <f>E138-F138</f>
        <v>388540</v>
      </c>
      <c r="H138" s="4">
        <f>G138*18%</f>
        <v>69937.2</v>
      </c>
      <c r="I138" s="4">
        <f>G138+H138</f>
        <v>458477.2</v>
      </c>
      <c r="J138" s="4">
        <f>G138*1%</f>
        <v>3885.4</v>
      </c>
      <c r="K138" s="4">
        <f>G138*5%</f>
        <v>19427</v>
      </c>
      <c r="L138" s="4">
        <f>G138*10%</f>
        <v>38854</v>
      </c>
      <c r="M138" s="4">
        <f>G138*10%</f>
        <v>38854</v>
      </c>
      <c r="N138" s="45">
        <f>H138</f>
        <v>69937.2</v>
      </c>
      <c r="O138" s="4">
        <v>0</v>
      </c>
      <c r="P138" s="4">
        <v>0</v>
      </c>
      <c r="Q138" s="4">
        <f>I138-SUM(J138:P138)</f>
        <v>287519.60000000003</v>
      </c>
      <c r="R138" s="32"/>
      <c r="S138" s="15"/>
      <c r="T138" s="15"/>
      <c r="U138" s="15">
        <v>99000</v>
      </c>
      <c r="V138" s="33" t="s">
        <v>110</v>
      </c>
      <c r="W138" s="15"/>
    </row>
    <row r="139" spans="1:23" ht="24.95" customHeight="1" x14ac:dyDescent="0.25">
      <c r="A139" s="36">
        <v>66288</v>
      </c>
      <c r="B139" s="29" t="s">
        <v>50</v>
      </c>
      <c r="C139" s="30"/>
      <c r="D139" s="31">
        <v>17</v>
      </c>
      <c r="E139" s="15">
        <f>N137</f>
        <v>73661.759999999995</v>
      </c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50">
        <f>E139</f>
        <v>73661.759999999995</v>
      </c>
      <c r="R139" s="32"/>
      <c r="S139" s="15"/>
      <c r="T139" s="15"/>
      <c r="U139" s="15">
        <v>99000</v>
      </c>
      <c r="V139" s="33" t="s">
        <v>113</v>
      </c>
      <c r="W139" s="15"/>
    </row>
    <row r="140" spans="1:23" ht="24.95" customHeight="1" x14ac:dyDescent="0.25">
      <c r="A140" s="36">
        <v>66288</v>
      </c>
      <c r="B140" s="29" t="s">
        <v>173</v>
      </c>
      <c r="C140" s="30">
        <v>45658</v>
      </c>
      <c r="D140" s="31">
        <v>29</v>
      </c>
      <c r="E140" s="15">
        <v>650364</v>
      </c>
      <c r="F140" s="15">
        <v>-3</v>
      </c>
      <c r="G140" s="4">
        <f>E140-F140</f>
        <v>650367</v>
      </c>
      <c r="H140" s="4">
        <f>G140*18%</f>
        <v>117066.06</v>
      </c>
      <c r="I140" s="4">
        <f>G140+H140</f>
        <v>767433.06</v>
      </c>
      <c r="J140" s="4">
        <f>G140*1%</f>
        <v>6503.67</v>
      </c>
      <c r="K140" s="4">
        <f>G140*5%</f>
        <v>32518.350000000002</v>
      </c>
      <c r="L140" s="4">
        <f>G140*10%</f>
        <v>65036.700000000004</v>
      </c>
      <c r="M140" s="4">
        <f>G140*10%</f>
        <v>65036.700000000004</v>
      </c>
      <c r="N140" s="49">
        <f>H140</f>
        <v>117066.06</v>
      </c>
      <c r="O140" s="4">
        <v>0</v>
      </c>
      <c r="P140" s="4">
        <v>0</v>
      </c>
      <c r="Q140" s="4">
        <f>I140-SUM(J140:P140)</f>
        <v>481271.58000000007</v>
      </c>
      <c r="R140" s="53" t="s">
        <v>116</v>
      </c>
      <c r="S140" s="15"/>
      <c r="T140" s="15"/>
      <c r="U140" s="15">
        <v>123750</v>
      </c>
      <c r="V140" s="33" t="s">
        <v>115</v>
      </c>
      <c r="W140" s="15"/>
    </row>
    <row r="141" spans="1:23" ht="24.95" customHeight="1" x14ac:dyDescent="0.25">
      <c r="A141" s="36">
        <v>66288</v>
      </c>
      <c r="B141" s="29" t="s">
        <v>50</v>
      </c>
      <c r="C141" s="30"/>
      <c r="D141" s="31">
        <v>22</v>
      </c>
      <c r="E141" s="15">
        <f>N138</f>
        <v>69937.2</v>
      </c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50">
        <f>E141</f>
        <v>69937.2</v>
      </c>
      <c r="R141" s="32"/>
      <c r="S141" s="15"/>
      <c r="T141" s="15"/>
      <c r="U141" s="15">
        <v>198000</v>
      </c>
      <c r="V141" s="33" t="s">
        <v>120</v>
      </c>
      <c r="W141" s="15"/>
    </row>
    <row r="142" spans="1:23" ht="24.95" customHeight="1" x14ac:dyDescent="0.25">
      <c r="A142" s="36">
        <v>66288</v>
      </c>
      <c r="B142" s="29"/>
      <c r="C142" s="30"/>
      <c r="D142" s="31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32"/>
      <c r="S142" s="15"/>
      <c r="T142" s="15"/>
      <c r="U142" s="15">
        <v>297000</v>
      </c>
      <c r="V142" s="33" t="s">
        <v>125</v>
      </c>
      <c r="W142" s="15"/>
    </row>
    <row r="143" spans="1:23" ht="24.95" customHeight="1" x14ac:dyDescent="0.25">
      <c r="A143" s="36">
        <v>66288</v>
      </c>
      <c r="B143" s="29"/>
      <c r="C143" s="30"/>
      <c r="D143" s="31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32"/>
      <c r="S143" s="15"/>
      <c r="T143" s="15"/>
      <c r="U143" s="15">
        <v>148500</v>
      </c>
      <c r="V143" s="33" t="s">
        <v>127</v>
      </c>
      <c r="W143" s="15"/>
    </row>
    <row r="144" spans="1:23" ht="24.95" customHeight="1" x14ac:dyDescent="0.25">
      <c r="A144" s="36">
        <v>66288</v>
      </c>
      <c r="B144" s="29"/>
      <c r="C144" s="30"/>
      <c r="D144" s="31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32"/>
      <c r="S144" s="15"/>
      <c r="T144" s="15"/>
      <c r="U144" s="15">
        <v>198000</v>
      </c>
      <c r="V144" s="33" t="s">
        <v>130</v>
      </c>
      <c r="W144" s="15"/>
    </row>
    <row r="145" spans="1:23" ht="24.95" customHeight="1" x14ac:dyDescent="0.25">
      <c r="A145" s="13"/>
      <c r="B145" s="20"/>
      <c r="C145" s="10"/>
      <c r="D145" s="21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22">
        <v>66392</v>
      </c>
      <c r="S145" s="9"/>
      <c r="T145" s="9"/>
      <c r="U145" s="9"/>
      <c r="V145" s="13"/>
      <c r="W145" s="9"/>
    </row>
    <row r="146" spans="1:23" ht="24.95" customHeight="1" x14ac:dyDescent="0.25">
      <c r="A146" s="36">
        <v>66392</v>
      </c>
      <c r="B146" s="29" t="s">
        <v>174</v>
      </c>
      <c r="C146" s="30">
        <v>45587</v>
      </c>
      <c r="D146" s="31">
        <v>14</v>
      </c>
      <c r="E146" s="15">
        <v>108025</v>
      </c>
      <c r="F146" s="15">
        <f>2.5+106820</f>
        <v>106822.5</v>
      </c>
      <c r="G146" s="4">
        <f>E146-F146</f>
        <v>1202.5</v>
      </c>
      <c r="H146" s="4">
        <f>G146*18%</f>
        <v>216.45</v>
      </c>
      <c r="I146" s="4">
        <f>G146+H146</f>
        <v>1418.95</v>
      </c>
      <c r="J146" s="4">
        <f>G146*1%</f>
        <v>12.025</v>
      </c>
      <c r="K146" s="4">
        <f>G146*5%</f>
        <v>60.125</v>
      </c>
      <c r="L146" s="4">
        <f>G146*10%</f>
        <v>120.25</v>
      </c>
      <c r="M146" s="4">
        <f>G146*10%</f>
        <v>120.25</v>
      </c>
      <c r="N146" s="49">
        <f>H146</f>
        <v>216.45</v>
      </c>
      <c r="O146" s="4">
        <v>0</v>
      </c>
      <c r="P146" s="4">
        <v>0</v>
      </c>
      <c r="Q146" s="4">
        <f>I146-SUM(J146:P146)</f>
        <v>889.85000000000014</v>
      </c>
      <c r="R146" s="32"/>
      <c r="S146" s="15"/>
      <c r="T146" s="15"/>
      <c r="U146" s="15"/>
      <c r="V146" s="33"/>
      <c r="W146" s="4">
        <f>SUM(Q146:Q147)-SUM(U146:U147)</f>
        <v>1106.3000000000002</v>
      </c>
    </row>
    <row r="147" spans="1:23" ht="24.95" customHeight="1" x14ac:dyDescent="0.25">
      <c r="A147" s="36">
        <v>66392</v>
      </c>
      <c r="B147" s="29" t="s">
        <v>50</v>
      </c>
      <c r="C147" s="30"/>
      <c r="D147" s="31">
        <v>14</v>
      </c>
      <c r="E147" s="15">
        <f>N146</f>
        <v>216.45</v>
      </c>
      <c r="F147" s="15"/>
      <c r="G147" s="4"/>
      <c r="H147" s="4"/>
      <c r="I147" s="4"/>
      <c r="J147" s="4"/>
      <c r="K147" s="4"/>
      <c r="L147" s="4"/>
      <c r="M147" s="4"/>
      <c r="N147" s="49"/>
      <c r="O147" s="4"/>
      <c r="P147" s="4"/>
      <c r="Q147" s="4">
        <f>E147</f>
        <v>216.45</v>
      </c>
      <c r="R147" s="32"/>
      <c r="S147" s="15"/>
      <c r="T147" s="15"/>
      <c r="U147" s="15"/>
      <c r="V147" s="33"/>
      <c r="W147" s="4"/>
    </row>
    <row r="148" spans="1:23" ht="24.95" customHeight="1" x14ac:dyDescent="0.25">
      <c r="A148" s="13"/>
      <c r="B148" s="20"/>
      <c r="C148" s="10"/>
      <c r="D148" s="21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22">
        <v>66393</v>
      </c>
      <c r="S148" s="9"/>
      <c r="T148" s="9"/>
      <c r="U148" s="9"/>
      <c r="V148" s="13"/>
      <c r="W148" s="9"/>
    </row>
    <row r="149" spans="1:23" ht="24.95" customHeight="1" x14ac:dyDescent="0.25">
      <c r="A149" s="36">
        <v>66393</v>
      </c>
      <c r="B149" s="29" t="s">
        <v>175</v>
      </c>
      <c r="C149" s="30">
        <v>45587</v>
      </c>
      <c r="D149" s="31">
        <v>16</v>
      </c>
      <c r="E149" s="15">
        <v>125771.25</v>
      </c>
      <c r="F149" s="15">
        <f>3.25+123988</f>
        <v>123991.25</v>
      </c>
      <c r="G149" s="4">
        <f>E149-F149</f>
        <v>1780</v>
      </c>
      <c r="H149" s="4">
        <f>G149*18%</f>
        <v>320.39999999999998</v>
      </c>
      <c r="I149" s="4">
        <f>G149+H149</f>
        <v>2100.4</v>
      </c>
      <c r="J149" s="4">
        <f>G149*1%</f>
        <v>17.8</v>
      </c>
      <c r="K149" s="4">
        <f>G149*5%</f>
        <v>89</v>
      </c>
      <c r="L149" s="4">
        <f>G149*10%</f>
        <v>178</v>
      </c>
      <c r="M149" s="4">
        <f>G149*10%</f>
        <v>178</v>
      </c>
      <c r="N149" s="49">
        <f>H149</f>
        <v>320.39999999999998</v>
      </c>
      <c r="O149" s="4">
        <v>0</v>
      </c>
      <c r="P149" s="4">
        <v>0</v>
      </c>
      <c r="Q149" s="4">
        <f>I149-SUM(J149:P149)</f>
        <v>1317.2</v>
      </c>
      <c r="R149" s="32"/>
      <c r="S149" s="15"/>
      <c r="T149" s="15"/>
      <c r="U149" s="15">
        <v>148500</v>
      </c>
      <c r="V149" s="33" t="s">
        <v>122</v>
      </c>
      <c r="W149" s="4">
        <f>SUM(Q149:Q152)-SUM(U149:U152)</f>
        <v>-63070.959999999992</v>
      </c>
    </row>
    <row r="150" spans="1:23" ht="24.95" customHeight="1" x14ac:dyDescent="0.25">
      <c r="A150" s="36">
        <v>66393</v>
      </c>
      <c r="B150" s="29" t="s">
        <v>50</v>
      </c>
      <c r="C150" s="30"/>
      <c r="D150" s="31">
        <v>16</v>
      </c>
      <c r="E150" s="15">
        <f>N149</f>
        <v>320.39999999999998</v>
      </c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>
        <f>E150</f>
        <v>320.39999999999998</v>
      </c>
      <c r="R150" s="32"/>
      <c r="S150" s="15"/>
      <c r="T150" s="15"/>
      <c r="U150" s="15">
        <v>49500</v>
      </c>
      <c r="V150" s="33" t="s">
        <v>123</v>
      </c>
      <c r="W150" s="15"/>
    </row>
    <row r="151" spans="1:23" ht="24.95" customHeight="1" x14ac:dyDescent="0.25">
      <c r="A151" s="36">
        <v>66393</v>
      </c>
      <c r="B151" s="29" t="s">
        <v>175</v>
      </c>
      <c r="C151" s="30">
        <v>45646</v>
      </c>
      <c r="D151" s="31">
        <v>26</v>
      </c>
      <c r="E151" s="15">
        <v>183032</v>
      </c>
      <c r="F151" s="15">
        <v>38150</v>
      </c>
      <c r="G151" s="4">
        <f>E151-F151</f>
        <v>144882</v>
      </c>
      <c r="H151" s="4">
        <f>G151*18%</f>
        <v>26078.76</v>
      </c>
      <c r="I151" s="4">
        <f>G151+H151</f>
        <v>170960.76</v>
      </c>
      <c r="J151" s="4">
        <f>G151*1%</f>
        <v>1448.82</v>
      </c>
      <c r="K151" s="4">
        <f>G151*5%</f>
        <v>7244.1</v>
      </c>
      <c r="L151" s="4">
        <f>G151*10%</f>
        <v>14488.2</v>
      </c>
      <c r="M151" s="4">
        <f>G151*10%</f>
        <v>14488.2</v>
      </c>
      <c r="N151" s="49">
        <f>H151</f>
        <v>26078.76</v>
      </c>
      <c r="O151" s="4">
        <v>0</v>
      </c>
      <c r="P151" s="4">
        <v>0</v>
      </c>
      <c r="Q151" s="4">
        <f>I151-SUM(J151:P151)</f>
        <v>107212.68000000001</v>
      </c>
      <c r="R151" s="53"/>
      <c r="S151" s="15"/>
      <c r="T151" s="15"/>
      <c r="U151" s="15"/>
      <c r="V151" s="33"/>
      <c r="W151" s="15"/>
    </row>
    <row r="152" spans="1:23" ht="24.95" customHeight="1" x14ac:dyDescent="0.25">
      <c r="A152" s="36">
        <v>66393</v>
      </c>
      <c r="B152" s="29" t="s">
        <v>50</v>
      </c>
      <c r="C152" s="30"/>
      <c r="D152" s="31">
        <v>26</v>
      </c>
      <c r="E152" s="15">
        <f>N151</f>
        <v>26078.76</v>
      </c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>
        <f>E152</f>
        <v>26078.76</v>
      </c>
      <c r="R152" s="32"/>
      <c r="S152" s="15"/>
      <c r="T152" s="15"/>
      <c r="U152" s="15"/>
      <c r="V152" s="33"/>
      <c r="W152" s="15"/>
    </row>
    <row r="153" spans="1:23" ht="24.95" customHeight="1" x14ac:dyDescent="0.25">
      <c r="A153" s="13"/>
      <c r="B153" s="20"/>
      <c r="C153" s="10"/>
      <c r="D153" s="21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22">
        <f>A154</f>
        <v>67386</v>
      </c>
      <c r="S153" s="9"/>
      <c r="T153" s="9"/>
      <c r="U153" s="9"/>
      <c r="V153" s="13"/>
      <c r="W153" s="9"/>
    </row>
    <row r="154" spans="1:23" ht="24.95" customHeight="1" x14ac:dyDescent="0.25">
      <c r="A154" s="36">
        <v>67386</v>
      </c>
      <c r="B154" s="29" t="s">
        <v>176</v>
      </c>
      <c r="C154" s="30">
        <v>45650</v>
      </c>
      <c r="D154" s="31">
        <v>16</v>
      </c>
      <c r="E154" s="15">
        <v>40700</v>
      </c>
      <c r="F154" s="15">
        <v>0</v>
      </c>
      <c r="G154" s="4">
        <f>E154-F154</f>
        <v>40700</v>
      </c>
      <c r="H154" s="4">
        <f>G154*18%</f>
        <v>7326</v>
      </c>
      <c r="I154" s="4">
        <f>G154+H154</f>
        <v>48026</v>
      </c>
      <c r="J154" s="4">
        <f>G154*1%</f>
        <v>407</v>
      </c>
      <c r="K154" s="4">
        <f>G154*5%</f>
        <v>2035</v>
      </c>
      <c r="L154" s="4">
        <f>G154*10%</f>
        <v>4070</v>
      </c>
      <c r="M154" s="4">
        <f>G154*10%</f>
        <v>4070</v>
      </c>
      <c r="N154" s="49">
        <f>H154</f>
        <v>7326</v>
      </c>
      <c r="O154" s="4">
        <v>0</v>
      </c>
      <c r="P154" s="4">
        <v>0</v>
      </c>
      <c r="Q154" s="4">
        <f>I154-SUM(J154:P154)</f>
        <v>30118</v>
      </c>
      <c r="R154" s="32"/>
      <c r="S154" s="15"/>
      <c r="T154" s="15"/>
      <c r="U154" s="15"/>
      <c r="V154" s="33"/>
      <c r="W154" s="4">
        <f>SUM(Q154:Q155)-SUM(U154:U155)</f>
        <v>37444</v>
      </c>
    </row>
    <row r="155" spans="1:23" ht="24.95" customHeight="1" x14ac:dyDescent="0.25">
      <c r="A155" s="36">
        <v>67386</v>
      </c>
      <c r="B155" s="29" t="s">
        <v>50</v>
      </c>
      <c r="C155" s="30"/>
      <c r="D155" s="31">
        <v>16</v>
      </c>
      <c r="E155" s="15">
        <f>N154</f>
        <v>7326</v>
      </c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>
        <f>E155</f>
        <v>7326</v>
      </c>
      <c r="R155" s="32"/>
      <c r="S155" s="15"/>
      <c r="T155" s="15"/>
      <c r="U155" s="15"/>
      <c r="V155" s="33"/>
      <c r="W155" s="15"/>
    </row>
    <row r="156" spans="1:23" ht="24.95" customHeight="1" x14ac:dyDescent="0.25">
      <c r="A156" s="13"/>
      <c r="B156" s="20"/>
      <c r="C156" s="10"/>
      <c r="D156" s="21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22">
        <f>A157</f>
        <v>67708</v>
      </c>
      <c r="S156" s="9"/>
      <c r="T156" s="9"/>
      <c r="U156" s="9"/>
      <c r="V156" s="13"/>
      <c r="W156" s="9"/>
    </row>
    <row r="157" spans="1:23" ht="24.95" customHeight="1" x14ac:dyDescent="0.25">
      <c r="A157" s="36">
        <v>67708</v>
      </c>
      <c r="B157" s="29" t="s">
        <v>177</v>
      </c>
      <c r="C157" s="30">
        <v>45743</v>
      </c>
      <c r="D157" s="31">
        <v>36</v>
      </c>
      <c r="E157" s="15">
        <v>273920</v>
      </c>
      <c r="F157" s="15">
        <v>38150</v>
      </c>
      <c r="G157" s="4">
        <f>E157-F157</f>
        <v>235770</v>
      </c>
      <c r="H157" s="4">
        <f>G157*18%</f>
        <v>42438.6</v>
      </c>
      <c r="I157" s="4">
        <f>G157+H157</f>
        <v>278208.59999999998</v>
      </c>
      <c r="J157" s="4">
        <f>G157*1%</f>
        <v>2357.7000000000003</v>
      </c>
      <c r="K157" s="4">
        <f>G157*5%</f>
        <v>11788.5</v>
      </c>
      <c r="L157" s="4">
        <f>G157*10%</f>
        <v>23577</v>
      </c>
      <c r="M157" s="4">
        <f>G157*10%</f>
        <v>23577</v>
      </c>
      <c r="N157" s="49">
        <f>H157</f>
        <v>42438.6</v>
      </c>
      <c r="O157" s="4">
        <v>0</v>
      </c>
      <c r="P157" s="4">
        <v>0</v>
      </c>
      <c r="Q157" s="4">
        <f>I157-SUM(J157:P157)</f>
        <v>174469.8</v>
      </c>
      <c r="R157" s="32"/>
      <c r="S157" s="15"/>
      <c r="T157" s="15"/>
      <c r="U157" s="15"/>
      <c r="V157" s="33"/>
      <c r="W157" s="4">
        <f>SUM(Q157:Q159)-SUM(U157:U159)</f>
        <v>174469.8</v>
      </c>
    </row>
    <row r="158" spans="1:23" ht="24.95" customHeight="1" x14ac:dyDescent="0.25">
      <c r="A158" s="36">
        <v>67708</v>
      </c>
      <c r="B158" s="29" t="s">
        <v>50</v>
      </c>
      <c r="C158" s="30"/>
      <c r="D158" s="31">
        <v>36</v>
      </c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>
        <f>E158</f>
        <v>0</v>
      </c>
      <c r="R158" s="32"/>
      <c r="S158" s="15"/>
      <c r="T158" s="15"/>
      <c r="U158" s="15"/>
      <c r="V158" s="33"/>
      <c r="W158" s="15"/>
    </row>
    <row r="159" spans="1:23" ht="24.95" customHeight="1" x14ac:dyDescent="0.25">
      <c r="A159" s="36">
        <v>67708</v>
      </c>
      <c r="B159" s="29"/>
      <c r="C159" s="30"/>
      <c r="D159" s="31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32"/>
      <c r="S159" s="15"/>
      <c r="T159" s="15"/>
      <c r="U159" s="15"/>
      <c r="V159" s="33"/>
      <c r="W159" s="15"/>
    </row>
    <row r="160" spans="1:23" ht="24.95" customHeight="1" x14ac:dyDescent="0.25">
      <c r="A160" s="13"/>
      <c r="B160" s="20"/>
      <c r="C160" s="10"/>
      <c r="D160" s="21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22">
        <f>A161</f>
        <v>69212</v>
      </c>
      <c r="S160" s="9"/>
      <c r="T160" s="9"/>
      <c r="U160" s="9"/>
      <c r="V160" s="13"/>
      <c r="W160" s="9"/>
    </row>
    <row r="161" spans="1:23" ht="24.95" customHeight="1" x14ac:dyDescent="0.25">
      <c r="A161" s="36">
        <v>69212</v>
      </c>
      <c r="B161" s="29" t="s">
        <v>178</v>
      </c>
      <c r="C161" s="30"/>
      <c r="D161" s="31"/>
      <c r="E161" s="15"/>
      <c r="F161" s="15"/>
      <c r="G161" s="4">
        <f>E161-F161</f>
        <v>0</v>
      </c>
      <c r="H161" s="4">
        <f>G161*18%</f>
        <v>0</v>
      </c>
      <c r="I161" s="4">
        <f>G161+H161</f>
        <v>0</v>
      </c>
      <c r="J161" s="4">
        <f>G161*1%</f>
        <v>0</v>
      </c>
      <c r="K161" s="4">
        <f>G161*5%</f>
        <v>0</v>
      </c>
      <c r="L161" s="4">
        <f>G161*10%</f>
        <v>0</v>
      </c>
      <c r="M161" s="4">
        <f>G161*10%</f>
        <v>0</v>
      </c>
      <c r="N161" s="49">
        <f>H161</f>
        <v>0</v>
      </c>
      <c r="O161" s="4">
        <v>0</v>
      </c>
      <c r="P161" s="4">
        <v>0</v>
      </c>
      <c r="Q161" s="4">
        <f>I161-SUM(J161:P161)</f>
        <v>0</v>
      </c>
      <c r="R161" s="32"/>
      <c r="S161" s="15"/>
      <c r="T161" s="15"/>
      <c r="U161" s="15">
        <v>198000</v>
      </c>
      <c r="V161" s="33" t="s">
        <v>136</v>
      </c>
      <c r="W161" s="4">
        <f>SUM(Q161:Q164)-SUM(U161:U164)</f>
        <v>-396000</v>
      </c>
    </row>
    <row r="162" spans="1:23" ht="24.95" customHeight="1" x14ac:dyDescent="0.25">
      <c r="A162" s="36">
        <v>69212</v>
      </c>
      <c r="B162" s="29"/>
      <c r="C162" s="30"/>
      <c r="D162" s="31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32"/>
      <c r="S162" s="15"/>
      <c r="T162" s="15"/>
      <c r="U162" s="15">
        <v>198000</v>
      </c>
      <c r="V162" s="33" t="s">
        <v>138</v>
      </c>
      <c r="W162" s="15"/>
    </row>
    <row r="163" spans="1:23" ht="24.95" customHeight="1" x14ac:dyDescent="0.25">
      <c r="A163" s="36">
        <v>69212</v>
      </c>
      <c r="B163" s="29"/>
      <c r="C163" s="30"/>
      <c r="D163" s="31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32"/>
      <c r="S163" s="15"/>
      <c r="T163" s="15"/>
      <c r="U163" s="15"/>
      <c r="V163" s="33"/>
      <c r="W163" s="15"/>
    </row>
    <row r="164" spans="1:23" ht="24.95" customHeight="1" thickBot="1" x14ac:dyDescent="0.3">
      <c r="A164" s="36">
        <v>69212</v>
      </c>
      <c r="B164" s="31"/>
      <c r="C164" s="31"/>
      <c r="D164" s="31"/>
      <c r="E164" s="37"/>
      <c r="F164" s="37"/>
      <c r="G164" s="37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32"/>
      <c r="S164" s="15"/>
      <c r="T164" s="15"/>
      <c r="U164" s="15"/>
      <c r="V164" s="15"/>
      <c r="W164" s="15"/>
    </row>
    <row r="165" spans="1:23" ht="24.95" customHeight="1" x14ac:dyDescent="0.25">
      <c r="A165" s="25"/>
      <c r="B165" s="25"/>
      <c r="C165" s="25"/>
      <c r="D165" s="25"/>
      <c r="E165" s="25"/>
      <c r="F165" s="25"/>
      <c r="G165" s="25"/>
      <c r="H165" s="25"/>
      <c r="I165" s="25"/>
      <c r="J165" s="26">
        <f t="shared" ref="J165:Q165" si="0">SUM(J8:J164)</f>
        <v>145181.33750000005</v>
      </c>
      <c r="K165" s="26">
        <f t="shared" si="0"/>
        <v>725910.6875</v>
      </c>
      <c r="L165" s="26">
        <f t="shared" si="0"/>
        <v>1451821.9750000001</v>
      </c>
      <c r="M165" s="26">
        <f t="shared" si="0"/>
        <v>1451821.9750000001</v>
      </c>
      <c r="N165" s="26">
        <f t="shared" si="0"/>
        <v>2613280.0749999997</v>
      </c>
      <c r="O165" s="26">
        <f t="shared" si="0"/>
        <v>40849.800000000003</v>
      </c>
      <c r="P165" s="26">
        <f t="shared" si="0"/>
        <v>582346.25</v>
      </c>
      <c r="Q165" s="26">
        <f t="shared" si="0"/>
        <v>12434092.159999996</v>
      </c>
      <c r="R165" s="26"/>
      <c r="S165" s="26" t="s">
        <v>3</v>
      </c>
      <c r="T165" s="26"/>
      <c r="U165" s="26">
        <f>SUM(U8:U164)</f>
        <v>15570741</v>
      </c>
      <c r="V165" s="25"/>
      <c r="W165" s="26">
        <f>SUM(W6:W164)</f>
        <v>-3136648.8400000008</v>
      </c>
    </row>
    <row r="166" spans="1:23" ht="24.95" customHeight="1" thickBo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35" t="s">
        <v>4</v>
      </c>
      <c r="T166" s="5"/>
      <c r="U166" s="35">
        <f>Q165-U165</f>
        <v>-3136648.8400000036</v>
      </c>
      <c r="V166" s="5"/>
      <c r="W166" s="35"/>
    </row>
    <row r="167" spans="1:23" ht="24.9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24.9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11"/>
      <c r="K168" s="11"/>
      <c r="L168" s="73"/>
      <c r="M168" s="7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24.95" customHeight="1" thickBo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11"/>
      <c r="K169" s="11"/>
      <c r="L169" s="11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24.95" customHeight="1" thickBo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76" t="s">
        <v>137</v>
      </c>
      <c r="K170" s="76"/>
      <c r="L170" s="76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24.95" customHeight="1" thickBot="1" x14ac:dyDescent="0.3">
      <c r="A171" s="3"/>
      <c r="B171" s="3"/>
      <c r="C171" s="3"/>
      <c r="D171" s="3"/>
      <c r="F171" s="3"/>
      <c r="G171" s="3"/>
      <c r="H171" s="3"/>
      <c r="I171" s="3"/>
      <c r="J171" s="74">
        <v>45794</v>
      </c>
      <c r="K171" s="75"/>
      <c r="L171" s="75"/>
      <c r="M171" s="7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24.95" customHeight="1" thickBot="1" x14ac:dyDescent="0.3">
      <c r="A172" s="3"/>
      <c r="B172" s="3"/>
      <c r="C172" s="3"/>
      <c r="D172" s="3"/>
      <c r="E172" s="3">
        <f>E140+E126+E120+E110+E102</f>
        <v>3446141</v>
      </c>
      <c r="F172" s="3"/>
      <c r="G172" s="3"/>
      <c r="H172" s="3"/>
      <c r="I172" s="3"/>
      <c r="J172" s="47" t="s">
        <v>39</v>
      </c>
      <c r="K172" s="47"/>
      <c r="L172" s="47">
        <f>K165+L165+M165</f>
        <v>3629554.6375000002</v>
      </c>
      <c r="M172" s="7"/>
      <c r="N172" s="3"/>
      <c r="O172" s="3"/>
      <c r="P172" s="3"/>
      <c r="Q172" s="3">
        <f>Q140+Q126+Q120+Q110+Q102</f>
        <v>2403345.3600000003</v>
      </c>
      <c r="R172" s="3"/>
      <c r="S172" s="3"/>
      <c r="T172" s="3"/>
      <c r="U172" s="3"/>
      <c r="V172" s="3"/>
      <c r="W172" s="3"/>
    </row>
    <row r="173" spans="1:23" ht="24.95" customHeight="1" thickBo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47" t="s">
        <v>40</v>
      </c>
      <c r="K173" s="47"/>
      <c r="L173" s="47">
        <f>U166</f>
        <v>-3136648.8400000036</v>
      </c>
      <c r="M173" s="7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24.95" customHeight="1" thickBo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77" t="s">
        <v>100</v>
      </c>
      <c r="K174" s="77"/>
      <c r="L174" s="47">
        <f>P165</f>
        <v>582346.25</v>
      </c>
      <c r="M174" s="7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24.95" customHeight="1" thickBo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72" t="s">
        <v>64</v>
      </c>
      <c r="K175" s="72"/>
      <c r="L175" s="48">
        <f>N165-Q10-Q12-Q20-Q22-Q33-Q39-Q43-Q45-Q48-Q51-Q56-Q60-Q67-Q71-Q74-Q78-Q84-Q88-Q92-Q96-Q99-Q150-Q147-Q139-Q132-Q118-Q124-Q80-Q155-Q133-Q141-Q152-Q53-Q121-Q158-Q111-Q103</f>
        <v>299473.8400000002</v>
      </c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24.9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24.9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24.9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24.9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24.9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24.9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24.9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24.9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24.9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24.9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24.9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24.9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24.9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24.9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24.9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24.9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24.9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24.9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24.9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24.9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24.9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24.9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24.9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24.9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24.9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24.9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24.9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24.9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24.9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24.9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24.9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24.9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24.9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24.9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24.9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24.9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24.9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24.9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24.9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24.9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24.9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24.9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24.9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24.9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24.9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24.9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24.9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24.9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24.9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24.9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24.9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24.9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24.9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</sheetData>
  <mergeCells count="5">
    <mergeCell ref="J175:K175"/>
    <mergeCell ref="L168:M168"/>
    <mergeCell ref="J171:L171"/>
    <mergeCell ref="J170:L170"/>
    <mergeCell ref="J174:K174"/>
  </mergeCells>
  <phoneticPr fontId="6" type="noConversion"/>
  <pageMargins left="0.7" right="0.7" top="0.75" bottom="0.75" header="0.3" footer="0.3"/>
  <pageSetup orientation="portrait" r:id="rId1"/>
  <ignoredErrors>
    <ignoredError sqref="Q20 Q10:Q1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I7" sqref="I7"/>
    </sheetView>
  </sheetViews>
  <sheetFormatPr defaultRowHeight="15" x14ac:dyDescent="0.25"/>
  <sheetData>
    <row r="1" spans="1:1" x14ac:dyDescent="0.25">
      <c r="A1" s="51"/>
    </row>
    <row r="2" spans="1:1" x14ac:dyDescent="0.25">
      <c r="A2" s="51"/>
    </row>
    <row r="3" spans="1:1" x14ac:dyDescent="0.25">
      <c r="A3" s="51"/>
    </row>
    <row r="4" spans="1:1" x14ac:dyDescent="0.25">
      <c r="A4" s="51"/>
    </row>
    <row r="5" spans="1:1" x14ac:dyDescent="0.25">
      <c r="A5" s="51"/>
    </row>
    <row r="6" spans="1:1" x14ac:dyDescent="0.25">
      <c r="A6" s="51"/>
    </row>
    <row r="7" spans="1:1" x14ac:dyDescent="0.25">
      <c r="A7" s="51"/>
    </row>
    <row r="8" spans="1:1" x14ac:dyDescent="0.25">
      <c r="A8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2025-05-28T11:51:00Z</dcterms:modified>
</cp:coreProperties>
</file>