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Not Edited Properly - Laxmi\Not Edited Properly - Laxmi\"/>
    </mc:Choice>
  </mc:AlternateContent>
  <xr:revisionPtr revIDLastSave="0" documentId="13_ncr:1_{2EFBDBAC-7B7F-4B44-87A5-7A61F49648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1 (2)" sheetId="3" r:id="rId2"/>
    <sheet name="Alipur" sheetId="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I13" i="1" s="1"/>
  <c r="N13" i="1" s="1"/>
  <c r="O13" i="8"/>
  <c r="M10" i="8"/>
  <c r="D8" i="8"/>
  <c r="F8" i="8" s="1"/>
  <c r="D7" i="8"/>
  <c r="F7" i="8" s="1"/>
  <c r="D6" i="8"/>
  <c r="D5" i="8"/>
  <c r="D9" i="8"/>
  <c r="G18" i="8" s="1"/>
  <c r="E9" i="8"/>
  <c r="F9" i="8" s="1"/>
  <c r="J9" i="8" s="1"/>
  <c r="G24" i="8" s="1"/>
  <c r="F6" i="8"/>
  <c r="E9" i="1"/>
  <c r="F11" i="3"/>
  <c r="F8" i="3"/>
  <c r="F9" i="3"/>
  <c r="F10" i="3"/>
  <c r="F7" i="3"/>
  <c r="H25" i="3"/>
  <c r="I19" i="3"/>
  <c r="K19" i="3" s="1"/>
  <c r="P19" i="3" s="1"/>
  <c r="X17" i="3"/>
  <c r="X16" i="3"/>
  <c r="X15" i="3"/>
  <c r="Q14" i="3"/>
  <c r="I12" i="3"/>
  <c r="K12" i="3" s="1"/>
  <c r="P12" i="3" s="1"/>
  <c r="I11" i="3"/>
  <c r="M11" i="3" s="1"/>
  <c r="X10" i="3"/>
  <c r="G10" i="3"/>
  <c r="I10" i="3" s="1"/>
  <c r="U9" i="3"/>
  <c r="T9" i="3"/>
  <c r="G9" i="3"/>
  <c r="I9" i="3" s="1"/>
  <c r="G8" i="3"/>
  <c r="I8" i="3" s="1"/>
  <c r="T7" i="3"/>
  <c r="X7" i="3" s="1"/>
  <c r="G7" i="3"/>
  <c r="G25" i="3" s="1"/>
  <c r="Q6" i="3"/>
  <c r="U17" i="1"/>
  <c r="U18" i="1"/>
  <c r="U16" i="1"/>
  <c r="G12" i="1"/>
  <c r="H12" i="1" s="1"/>
  <c r="L12" i="1" s="1"/>
  <c r="X9" i="3" l="1"/>
  <c r="X25" i="3" s="1"/>
  <c r="G19" i="8"/>
  <c r="G20" i="8" s="1"/>
  <c r="J6" i="8"/>
  <c r="I6" i="8"/>
  <c r="G6" i="8"/>
  <c r="K6" i="8" s="1"/>
  <c r="J7" i="8"/>
  <c r="I7" i="8"/>
  <c r="G7" i="8"/>
  <c r="K7" i="8" s="1"/>
  <c r="J8" i="8"/>
  <c r="I8" i="8"/>
  <c r="G8" i="8"/>
  <c r="K8" i="8" s="1"/>
  <c r="F5" i="8"/>
  <c r="G9" i="8"/>
  <c r="H9" i="8" s="1"/>
  <c r="I9" i="8"/>
  <c r="G23" i="8" s="1"/>
  <c r="M8" i="3"/>
  <c r="L8" i="3"/>
  <c r="J8" i="3"/>
  <c r="N8" i="3" s="1"/>
  <c r="M9" i="3"/>
  <c r="L9" i="3"/>
  <c r="J9" i="3"/>
  <c r="N9" i="3" s="1"/>
  <c r="M10" i="3"/>
  <c r="L10" i="3"/>
  <c r="J10" i="3"/>
  <c r="N10" i="3" s="1"/>
  <c r="I7" i="3"/>
  <c r="J11" i="3"/>
  <c r="N11" i="3" s="1"/>
  <c r="L11" i="3"/>
  <c r="I12" i="1"/>
  <c r="J12" i="1"/>
  <c r="K12" i="1"/>
  <c r="G20" i="1"/>
  <c r="I20" i="1" s="1"/>
  <c r="N20" i="1" s="1"/>
  <c r="E11" i="1"/>
  <c r="G11" i="1" s="1"/>
  <c r="H11" i="1" s="1"/>
  <c r="E10" i="1"/>
  <c r="G10" i="1" s="1"/>
  <c r="H10" i="1" s="1"/>
  <c r="G9" i="1"/>
  <c r="H9" i="1" s="1"/>
  <c r="Q8" i="1"/>
  <c r="E8" i="1"/>
  <c r="K11" i="3" l="1"/>
  <c r="K9" i="8"/>
  <c r="G21" i="8"/>
  <c r="G25" i="8" s="1"/>
  <c r="J5" i="8"/>
  <c r="I5" i="8"/>
  <c r="G5" i="8"/>
  <c r="M9" i="8"/>
  <c r="H8" i="8"/>
  <c r="M8" i="8" s="1"/>
  <c r="H7" i="8"/>
  <c r="M7" i="8" s="1"/>
  <c r="H6" i="8"/>
  <c r="M6" i="8" s="1"/>
  <c r="I25" i="3"/>
  <c r="M7" i="3"/>
  <c r="M25" i="3" s="1"/>
  <c r="L7" i="3"/>
  <c r="L25" i="3" s="1"/>
  <c r="J7" i="3"/>
  <c r="P11" i="3"/>
  <c r="K10" i="3"/>
  <c r="P10" i="3" s="1"/>
  <c r="K9" i="3"/>
  <c r="P9" i="3" s="1"/>
  <c r="K8" i="3"/>
  <c r="P8" i="3" s="1"/>
  <c r="N12" i="1"/>
  <c r="L9" i="1"/>
  <c r="K9" i="1"/>
  <c r="J9" i="1"/>
  <c r="K10" i="1"/>
  <c r="J10" i="1"/>
  <c r="K11" i="1"/>
  <c r="J11" i="1"/>
  <c r="G8" i="1"/>
  <c r="K8" i="1" s="1"/>
  <c r="G22" i="8" l="1"/>
  <c r="G26" i="8" s="1"/>
  <c r="G27" i="8" s="1"/>
  <c r="K5" i="8"/>
  <c r="H5" i="8"/>
  <c r="J25" i="3"/>
  <c r="N7" i="3"/>
  <c r="K7" i="3"/>
  <c r="J8" i="1"/>
  <c r="I9" i="1"/>
  <c r="N9" i="1" s="1"/>
  <c r="R10" i="1"/>
  <c r="Q10" i="1"/>
  <c r="M5" i="8" l="1"/>
  <c r="M13" i="8" s="1"/>
  <c r="O14" i="8" s="1"/>
  <c r="N25" i="3"/>
  <c r="F12" i="3"/>
  <c r="K25" i="3"/>
  <c r="P7" i="3"/>
  <c r="P25" i="3" s="1"/>
  <c r="X27" i="3" s="1"/>
  <c r="L10" i="1"/>
  <c r="I10" i="1"/>
  <c r="U8" i="1"/>
  <c r="N10" i="1" l="1"/>
  <c r="L11" i="1"/>
  <c r="I11" i="1"/>
  <c r="N11" i="1" s="1"/>
  <c r="U11" i="1"/>
  <c r="H8" i="1" l="1"/>
  <c r="U10" i="1"/>
  <c r="L8" i="1" l="1"/>
  <c r="I8" i="1"/>
  <c r="N8" i="1" l="1"/>
</calcChain>
</file>

<file path=xl/sharedStrings.xml><?xml version="1.0" encoding="utf-8"?>
<sst xmlns="http://schemas.openxmlformats.org/spreadsheetml/2006/main" count="147" uniqueCount="89">
  <si>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</si>
  <si>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</si>
  <si>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</si>
  <si>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</si>
  <si>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</si>
  <si>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</si>
  <si>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</si>
  <si>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</si>
  <si>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</si>
  <si>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</si>
  <si>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</si>
  <si>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</si>
  <si>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</si>
  <si>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Advance paid</t>
  </si>
  <si>
    <t>TDS Amount @ 1% on BASIC AMOUNT</t>
  </si>
  <si>
    <t xml:space="preserve">Debit </t>
  </si>
  <si>
    <t>After Debit Amt</t>
  </si>
  <si>
    <t>Total Payable Amount Rs. -</t>
  </si>
  <si>
    <t>Balance Payable Amount Rs. -</t>
  </si>
  <si>
    <t>Total Paid Amount Rs. -</t>
  </si>
  <si>
    <t>Hold amount for excess qty. against DPR</t>
  </si>
  <si>
    <t>TDS (2%)</t>
  </si>
  <si>
    <t>MZN UP</t>
  </si>
  <si>
    <t>Meenakshi Associates</t>
  </si>
  <si>
    <t>Back to Back work</t>
  </si>
  <si>
    <t xml:space="preserve">Alipurr  Village All work </t>
  </si>
  <si>
    <t>08-03-2023 NEFT/AXISP00369766198/RIUP22/2509/MEENAKSHI ASSOC 2450000.00</t>
  </si>
  <si>
    <t>RIUP22/2509</t>
  </si>
  <si>
    <t>05-06-2023 NEFT/AXISP00395602684/RIUP23/493/MEENAKSHI ASSOCI 6192370.00</t>
  </si>
  <si>
    <t xml:space="preserve">Badhiwala  Village All work </t>
  </si>
  <si>
    <t>RIUP22/2508</t>
  </si>
  <si>
    <t>09-03-2023 NEFT/AXISP00369969762/RIUP22/2508/MEENAKSHI ASSOC 2450000.00</t>
  </si>
  <si>
    <t>06-06-2023 NEFT/AXISP00395983528/RIUP23/494/MEENAKSHI ASSOCI 3009962.00</t>
  </si>
  <si>
    <t>GST Release Note</t>
  </si>
  <si>
    <t>6,3,4,8</t>
  </si>
  <si>
    <t>26.9.23</t>
  </si>
  <si>
    <t>GST  Release Note</t>
  </si>
  <si>
    <t>1,2,5,7</t>
  </si>
  <si>
    <t>RIUP23/493</t>
  </si>
  <si>
    <t>01-11-2023 NEFT/AXISP00439477040/RIUP23/2711/MEENAKSHI ASSOCIAT  3,56,805.00</t>
  </si>
  <si>
    <t>RIUP22/494</t>
  </si>
  <si>
    <t>RIUP22/2711</t>
  </si>
  <si>
    <t>Lcespl Amount</t>
  </si>
  <si>
    <t xml:space="preserve">Amount After Deduction </t>
  </si>
  <si>
    <t>Bill Value</t>
  </si>
  <si>
    <t>Advance mobilisation</t>
  </si>
  <si>
    <t>PMC - 52838</t>
  </si>
  <si>
    <t>Mobilisation Advance</t>
  </si>
  <si>
    <t>Total Basic</t>
  </si>
  <si>
    <t>LCEPL Amount</t>
  </si>
  <si>
    <t>Total Payable</t>
  </si>
  <si>
    <t>Total Paid</t>
  </si>
  <si>
    <t>Balance Payable</t>
  </si>
  <si>
    <t>Alipur Village</t>
  </si>
  <si>
    <t>GST payment balance - TI 7, 2, 5, 1</t>
  </si>
  <si>
    <t xml:space="preserve">Basic amount </t>
  </si>
  <si>
    <t>Mobilisation adv</t>
  </si>
  <si>
    <t>Advance of Rs. 2291500/- + interest 10% Rs. 263052/-</t>
  </si>
  <si>
    <t xml:space="preserve">Total basic </t>
  </si>
  <si>
    <t>SD 5%</t>
  </si>
  <si>
    <t>TDS 2%</t>
  </si>
  <si>
    <t>GST 18%</t>
  </si>
  <si>
    <t>GST amount</t>
  </si>
  <si>
    <t>GST SD 18%</t>
  </si>
  <si>
    <t xml:space="preserve">Final payable </t>
  </si>
  <si>
    <t xml:space="preserve">So total balance payment </t>
  </si>
  <si>
    <t>Tax invoice - 09, Date 01.07.2023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</si>
  <si>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</si>
  <si>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</si>
  <si>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</si>
  <si>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</si>
  <si>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</si>
  <si>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</si>
  <si>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</si>
  <si>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</si>
  <si>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</si>
  <si>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</si>
  <si>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</si>
  <si>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</si>
  <si>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</si>
  <si>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</si>
  <si>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</si>
  <si>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</si>
  <si>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</si>
  <si>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the Amount because the Qty. is more then the DPR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</si>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</sst>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02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43" fontId="5" fillId="2" borderId="35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9" fontId="3" fillId="2" borderId="32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5" xfId="0" applyBorder="1" applyAlignment="1">
      <alignment vertical="center"/>
    </xf>
    <xf numFmtId="43" fontId="3" fillId="2" borderId="28" xfId="1" applyNumberFormat="1" applyFont="1" applyFill="1" applyBorder="1" applyAlignment="1">
      <alignment horizontal="right"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0" fontId="3" fillId="2" borderId="12" xfId="0" quotePrefix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0" fontId="0" fillId="3" borderId="25" xfId="0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vertical="center"/>
    </xf>
    <xf numFmtId="14" fontId="5" fillId="2" borderId="6" xfId="0" applyNumberFormat="1" applyFont="1" applyFill="1" applyBorder="1" applyAlignment="1">
      <alignment horizontal="center" vertical="center"/>
    </xf>
    <xf numFmtId="14" fontId="3" fillId="2" borderId="21" xfId="1" applyNumberFormat="1" applyFont="1" applyFill="1" applyBorder="1" applyAlignment="1">
      <alignment vertical="center"/>
    </xf>
    <xf numFmtId="14" fontId="3" fillId="2" borderId="21" xfId="0" applyNumberFormat="1" applyFont="1" applyFill="1" applyBorder="1" applyAlignment="1">
      <alignment horizontal="center" vertical="center"/>
    </xf>
    <xf numFmtId="14" fontId="3" fillId="2" borderId="23" xfId="1" applyNumberFormat="1" applyFont="1" applyFill="1" applyBorder="1" applyAlignment="1">
      <alignment vertical="center"/>
    </xf>
    <xf numFmtId="14" fontId="3" fillId="3" borderId="23" xfId="1" applyNumberFormat="1" applyFont="1" applyFill="1" applyBorder="1" applyAlignment="1">
      <alignment vertical="center"/>
    </xf>
    <xf numFmtId="14" fontId="3" fillId="2" borderId="22" xfId="0" applyNumberFormat="1" applyFont="1" applyFill="1" applyBorder="1" applyAlignment="1">
      <alignment horizontal="center" vertical="center"/>
    </xf>
    <xf numFmtId="14" fontId="3" fillId="2" borderId="7" xfId="1" applyNumberFormat="1" applyFont="1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14" fontId="3" fillId="3" borderId="21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37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12" xfId="1" applyNumberFormat="1" applyFont="1" applyFill="1" applyBorder="1" applyAlignment="1">
      <alignment vertical="center"/>
    </xf>
    <xf numFmtId="9" fontId="3" fillId="3" borderId="32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3" fillId="2" borderId="20" xfId="1" applyNumberFormat="1" applyFont="1" applyFill="1" applyBorder="1" applyAlignment="1">
      <alignment horizontal="center" vertical="center"/>
    </xf>
    <xf numFmtId="15" fontId="3" fillId="2" borderId="21" xfId="0" applyNumberFormat="1" applyFont="1" applyFill="1" applyBorder="1" applyAlignment="1">
      <alignment horizontal="center" vertical="center"/>
    </xf>
    <xf numFmtId="43" fontId="3" fillId="3" borderId="19" xfId="1" applyNumberFormat="1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43" fontId="3" fillId="2" borderId="39" xfId="1" applyNumberFormat="1" applyFont="1" applyFill="1" applyBorder="1" applyAlignment="1">
      <alignment vertical="center"/>
    </xf>
    <xf numFmtId="43" fontId="3" fillId="2" borderId="40" xfId="1" applyNumberFormat="1" applyFont="1" applyFill="1" applyBorder="1" applyAlignment="1">
      <alignment vertical="center"/>
    </xf>
    <xf numFmtId="43" fontId="3" fillId="2" borderId="41" xfId="1" applyNumberFormat="1" applyFont="1" applyFill="1" applyBorder="1" applyAlignment="1">
      <alignment vertical="center"/>
    </xf>
    <xf numFmtId="43" fontId="3" fillId="2" borderId="42" xfId="1" applyNumberFormat="1" applyFont="1" applyFill="1" applyBorder="1" applyAlignment="1">
      <alignment vertical="center"/>
    </xf>
    <xf numFmtId="0" fontId="3" fillId="2" borderId="3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3" fillId="2" borderId="14" xfId="0" quotePrefix="1" applyFont="1" applyFill="1" applyBorder="1" applyAlignment="1">
      <alignment horizontal="center" vertical="center"/>
    </xf>
    <xf numFmtId="0" fontId="3" fillId="2" borderId="33" xfId="0" quotePrefix="1" applyFont="1" applyFill="1" applyBorder="1" applyAlignment="1">
      <alignment horizontal="center" vertical="center"/>
    </xf>
    <xf numFmtId="43" fontId="3" fillId="3" borderId="34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0" fillId="2" borderId="43" xfId="0" applyFill="1" applyBorder="1" applyAlignment="1">
      <alignment vertical="center"/>
    </xf>
    <xf numFmtId="14" fontId="3" fillId="2" borderId="0" xfId="1" applyNumberFormat="1" applyFont="1" applyFill="1" applyBorder="1" applyAlignment="1">
      <alignment vertical="center"/>
    </xf>
    <xf numFmtId="43" fontId="3" fillId="2" borderId="45" xfId="1" applyNumberFormat="1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14" fontId="3" fillId="2" borderId="14" xfId="1" applyNumberFormat="1" applyFont="1" applyFill="1" applyBorder="1" applyAlignment="1">
      <alignment vertical="center"/>
    </xf>
    <xf numFmtId="14" fontId="3" fillId="2" borderId="14" xfId="0" applyNumberFormat="1" applyFont="1" applyFill="1" applyBorder="1" applyAlignment="1">
      <alignment horizontal="center" vertical="center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0" fillId="0" borderId="29" xfId="0" applyBorder="1" applyAlignment="1">
      <alignment vertical="center"/>
    </xf>
    <xf numFmtId="14" fontId="3" fillId="2" borderId="16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5" fillId="2" borderId="34" xfId="1" applyNumberFormat="1" applyFont="1" applyFill="1" applyBorder="1" applyAlignment="1">
      <alignment vertical="center"/>
    </xf>
    <xf numFmtId="0" fontId="3" fillId="2" borderId="45" xfId="0" applyFont="1" applyFill="1" applyBorder="1" applyAlignment="1">
      <alignment horizontal="center" vertical="center"/>
    </xf>
    <xf numFmtId="14" fontId="3" fillId="2" borderId="45" xfId="0" applyNumberFormat="1" applyFont="1" applyFill="1" applyBorder="1" applyAlignment="1">
      <alignment horizontal="center" vertical="center"/>
    </xf>
    <xf numFmtId="43" fontId="3" fillId="2" borderId="45" xfId="1" applyNumberFormat="1" applyFont="1" applyFill="1" applyBorder="1" applyAlignment="1">
      <alignment horizontal="right" vertical="center"/>
    </xf>
    <xf numFmtId="43" fontId="3" fillId="2" borderId="47" xfId="1" applyNumberFormat="1" applyFont="1" applyFill="1" applyBorder="1" applyAlignment="1">
      <alignment vertical="center"/>
    </xf>
    <xf numFmtId="0" fontId="5" fillId="2" borderId="27" xfId="0" applyFont="1" applyFill="1" applyBorder="1" applyAlignment="1">
      <alignment horizontal="center" vertical="center" wrapText="1"/>
    </xf>
    <xf numFmtId="43" fontId="3" fillId="2" borderId="48" xfId="1" applyNumberFormat="1" applyFont="1" applyFill="1" applyBorder="1" applyAlignment="1">
      <alignment vertical="center"/>
    </xf>
    <xf numFmtId="14" fontId="3" fillId="2" borderId="41" xfId="1" applyNumberFormat="1" applyFont="1" applyFill="1" applyBorder="1" applyAlignment="1">
      <alignment vertical="center"/>
    </xf>
    <xf numFmtId="43" fontId="5" fillId="2" borderId="41" xfId="1" applyNumberFormat="1" applyFont="1" applyFill="1" applyBorder="1" applyAlignment="1">
      <alignment vertical="center"/>
    </xf>
    <xf numFmtId="43" fontId="5" fillId="2" borderId="42" xfId="1" applyNumberFormat="1" applyFont="1" applyFill="1" applyBorder="1" applyAlignment="1">
      <alignment vertical="center"/>
    </xf>
    <xf numFmtId="43" fontId="5" fillId="2" borderId="46" xfId="1" applyNumberFormat="1" applyFont="1" applyFill="1" applyBorder="1" applyAlignment="1">
      <alignment vertical="center"/>
    </xf>
    <xf numFmtId="43" fontId="5" fillId="2" borderId="40" xfId="1" applyNumberFormat="1" applyFont="1" applyFill="1" applyBorder="1" applyAlignment="1">
      <alignment vertical="center"/>
    </xf>
    <xf numFmtId="14" fontId="3" fillId="2" borderId="7" xfId="0" applyNumberFormat="1" applyFont="1" applyFill="1" applyBorder="1" applyAlignment="1">
      <alignment horizontal="center" vertical="center"/>
    </xf>
    <xf numFmtId="0" fontId="3" fillId="2" borderId="7" xfId="0" quotePrefix="1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14" fontId="5" fillId="2" borderId="41" xfId="0" applyNumberFormat="1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 wrapText="1"/>
    </xf>
    <xf numFmtId="43" fontId="6" fillId="2" borderId="41" xfId="1" applyNumberFormat="1" applyFont="1" applyFill="1" applyBorder="1" applyAlignment="1">
      <alignment horizontal="center" vertical="center"/>
    </xf>
    <xf numFmtId="43" fontId="5" fillId="2" borderId="41" xfId="1" applyNumberFormat="1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 wrapText="1"/>
    </xf>
    <xf numFmtId="9" fontId="3" fillId="2" borderId="16" xfId="1" applyNumberFormat="1" applyFont="1" applyFill="1" applyBorder="1" applyAlignment="1">
      <alignment vertical="center"/>
    </xf>
    <xf numFmtId="0" fontId="5" fillId="2" borderId="28" xfId="0" applyFont="1" applyFill="1" applyBorder="1" applyAlignment="1">
      <alignment horizontal="center" vertical="center" wrapText="1"/>
    </xf>
    <xf numFmtId="43" fontId="5" fillId="2" borderId="30" xfId="1" applyNumberFormat="1" applyFont="1" applyFill="1" applyBorder="1" applyAlignment="1">
      <alignment vertical="center"/>
    </xf>
    <xf numFmtId="43" fontId="3" fillId="5" borderId="9" xfId="1" applyNumberFormat="1" applyFont="1" applyFill="1" applyBorder="1" applyAlignment="1">
      <alignment vertical="center"/>
    </xf>
    <xf numFmtId="43" fontId="3" fillId="5" borderId="29" xfId="1" applyNumberFormat="1" applyFont="1" applyFill="1" applyBorder="1" applyAlignment="1">
      <alignment vertical="center"/>
    </xf>
    <xf numFmtId="43" fontId="3" fillId="5" borderId="11" xfId="1" applyNumberFormat="1" applyFont="1" applyFill="1" applyBorder="1" applyAlignment="1">
      <alignment vertical="center"/>
    </xf>
    <xf numFmtId="43" fontId="3" fillId="5" borderId="33" xfId="1" applyNumberFormat="1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43" fontId="0" fillId="2" borderId="18" xfId="0" applyNumberFormat="1" applyFill="1" applyBorder="1" applyAlignment="1">
      <alignment vertical="center"/>
    </xf>
    <xf numFmtId="43" fontId="0" fillId="2" borderId="18" xfId="1" applyNumberFormat="1" applyFont="1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43" fontId="0" fillId="2" borderId="27" xfId="1" applyNumberFormat="1" applyFont="1" applyFill="1" applyBorder="1" applyAlignment="1">
      <alignment vertical="center"/>
    </xf>
    <xf numFmtId="0" fontId="0" fillId="2" borderId="27" xfId="0" applyFill="1" applyBorder="1" applyAlignment="1">
      <alignment vertical="center"/>
    </xf>
    <xf numFmtId="0" fontId="0" fillId="2" borderId="25" xfId="0" applyFill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31" xfId="0" applyFill="1" applyBorder="1" applyAlignment="1">
      <alignment vertical="center"/>
    </xf>
    <xf numFmtId="43" fontId="7" fillId="2" borderId="35" xfId="1" applyNumberFormat="1" applyFont="1" applyFill="1" applyBorder="1" applyAlignment="1">
      <alignment vertical="center"/>
    </xf>
    <xf numFmtId="43" fontId="7" fillId="2" borderId="27" xfId="1" applyNumberFormat="1" applyFont="1" applyFill="1" applyBorder="1" applyAlignment="1">
      <alignment vertical="center"/>
    </xf>
    <xf numFmtId="43" fontId="0" fillId="2" borderId="37" xfId="0" applyNumberFormat="1" applyFill="1" applyBorder="1" applyAlignment="1">
      <alignment vertical="center"/>
    </xf>
    <xf numFmtId="43" fontId="0" fillId="2" borderId="37" xfId="1" applyNumberFormat="1" applyFont="1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0" fontId="0" fillId="2" borderId="32" xfId="0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 wrapText="1"/>
    </xf>
    <xf numFmtId="14" fontId="7" fillId="2" borderId="50" xfId="0" applyNumberFormat="1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/>
    </xf>
    <xf numFmtId="164" fontId="9" fillId="2" borderId="50" xfId="1" applyFont="1" applyFill="1" applyBorder="1" applyAlignment="1">
      <alignment horizontal="center" vertical="center"/>
    </xf>
    <xf numFmtId="0" fontId="7" fillId="3" borderId="50" xfId="0" applyFont="1" applyFill="1" applyBorder="1" applyAlignment="1">
      <alignment horizontal="center" vertical="center" wrapText="1"/>
    </xf>
    <xf numFmtId="0" fontId="7" fillId="2" borderId="51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43" fontId="3" fillId="2" borderId="27" xfId="1" applyNumberFormat="1" applyFont="1" applyFill="1" applyBorder="1" applyAlignment="1">
      <alignment horizontal="center" vertical="center"/>
    </xf>
    <xf numFmtId="0" fontId="0" fillId="0" borderId="14" xfId="0" applyBorder="1"/>
    <xf numFmtId="0" fontId="7" fillId="2" borderId="44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7" fillId="2" borderId="49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14" fontId="3" fillId="2" borderId="28" xfId="0" applyNumberFormat="1" applyFont="1" applyFill="1" applyBorder="1" applyAlignment="1">
      <alignment vertical="center"/>
    </xf>
    <xf numFmtId="0" fontId="3" fillId="2" borderId="28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zoomScale="85" zoomScaleNormal="85" workbookViewId="0">
      <pane ySplit="5" topLeftCell="A6" activePane="bottomLeft" state="frozen"/>
      <selection pane="bottomLeft" activeCell="D4" sqref="D4"/>
    </sheetView>
  </sheetViews>
  <sheetFormatPr defaultColWidth="9" defaultRowHeight="14.4" x14ac:dyDescent="0.3"/>
  <cols>
    <col min="1" max="1" width="9" style="117"/>
    <col min="2" max="2" width="30" style="15" customWidth="1"/>
    <col min="3" max="3" width="13.44140625" style="74" bestFit="1" customWidth="1"/>
    <col min="4" max="4" width="11.5546875" style="15" bestFit="1" customWidth="1"/>
    <col min="5" max="5" width="16.33203125" style="15" customWidth="1"/>
    <col min="6" max="6" width="13.33203125" style="15" customWidth="1"/>
    <col min="7" max="7" width="16.5546875" style="15" customWidth="1"/>
    <col min="8" max="8" width="15.33203125" style="56" bestFit="1" customWidth="1"/>
    <col min="9" max="9" width="16.44140625" style="56" bestFit="1" customWidth="1"/>
    <col min="10" max="10" width="14.109375" style="15" bestFit="1" customWidth="1"/>
    <col min="11" max="11" width="15" style="15" bestFit="1" customWidth="1"/>
    <col min="12" max="12" width="14.88671875" style="15" customWidth="1"/>
    <col min="13" max="13" width="28.5546875" style="15" bestFit="1" customWidth="1"/>
    <col min="14" max="14" width="16.88671875" style="15" customWidth="1"/>
    <col min="15" max="15" width="21.6640625" style="15" bestFit="1" customWidth="1"/>
    <col min="16" max="16" width="12.6640625" style="15" bestFit="1" customWidth="1"/>
    <col min="17" max="17" width="14.5546875" style="15" bestFit="1" customWidth="1"/>
    <col min="18" max="20" width="14.5546875" style="15" customWidth="1"/>
    <col min="21" max="21" width="17.88671875" style="15" customWidth="1"/>
    <col min="22" max="22" width="84.109375" style="15" bestFit="1" customWidth="1"/>
    <col min="23" max="16384" width="9" style="15"/>
  </cols>
  <sheetData>
    <row r="1" spans="1:22" x14ac:dyDescent="0.3">
      <c r="A1" s="184" t="s">
        <v>67</v>
      </c>
      <c r="B1" t="s">
        <v>23</v>
      </c>
      <c r="E1" s="16"/>
      <c r="F1" s="16"/>
      <c r="G1" s="16"/>
      <c r="H1" s="17"/>
      <c r="I1" s="17"/>
    </row>
    <row r="2" spans="1:22" x14ac:dyDescent="0.3">
      <c r="A2" s="184" t="s">
        <v>68</v>
      </c>
      <c r="B2" t="s">
        <v>69</v>
      </c>
      <c r="E2" s="16"/>
      <c r="F2" s="16"/>
      <c r="G2" s="16"/>
      <c r="H2" s="17"/>
      <c r="I2" s="17"/>
    </row>
    <row r="3" spans="1:22" ht="19.8" x14ac:dyDescent="0.3">
      <c r="A3" s="184" t="s">
        <v>70</v>
      </c>
      <c r="B3" t="s">
        <v>71</v>
      </c>
      <c r="C3" s="75"/>
      <c r="D3" s="19"/>
      <c r="G3" s="20"/>
      <c r="I3" s="20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</row>
    <row r="4" spans="1:22" ht="15" thickBot="1" x14ac:dyDescent="0.35">
      <c r="A4" s="184" t="s">
        <v>72</v>
      </c>
      <c r="B4" t="s">
        <v>71</v>
      </c>
      <c r="C4" s="200"/>
      <c r="D4" s="201"/>
      <c r="E4" s="201"/>
      <c r="F4" s="21"/>
      <c r="G4" s="21"/>
      <c r="H4" s="23"/>
      <c r="I4" s="23"/>
      <c r="J4" s="21"/>
      <c r="K4" s="21"/>
      <c r="O4" s="21"/>
      <c r="P4" s="24"/>
      <c r="Q4" s="24"/>
      <c r="R4" s="24"/>
      <c r="S4" s="24"/>
      <c r="T4" s="24"/>
      <c r="U4" s="24"/>
      <c r="V4" s="24"/>
    </row>
    <row r="5" spans="1:22" ht="70.5" customHeight="1" thickBot="1" x14ac:dyDescent="0.35">
      <c r="A5" s="181" t="s">
        <v>73</v>
      </c>
      <c r="B5" s="179" t="s">
        <v>74</v>
      </c>
      <c r="C5" s="175" t="s">
        <v>75</v>
      </c>
      <c r="D5" s="176" t="s">
        <v>76</v>
      </c>
      <c r="E5" s="174" t="s">
        <v>77</v>
      </c>
      <c r="F5" s="174" t="s">
        <v>78</v>
      </c>
      <c r="G5" s="176" t="s">
        <v>79</v>
      </c>
      <c r="H5" s="177" t="s">
        <v>80</v>
      </c>
      <c r="I5" s="13" t="s">
        <v>6</v>
      </c>
      <c r="J5" s="174" t="s">
        <v>81</v>
      </c>
      <c r="K5" s="174" t="s">
        <v>82</v>
      </c>
      <c r="L5" s="174" t="s">
        <v>83</v>
      </c>
      <c r="M5" s="178" t="s">
        <v>84</v>
      </c>
      <c r="N5" s="174" t="s">
        <v>85</v>
      </c>
      <c r="O5" s="4" t="s">
        <v>9</v>
      </c>
      <c r="P5" s="174" t="s">
        <v>86</v>
      </c>
      <c r="Q5" s="174" t="s">
        <v>87</v>
      </c>
      <c r="R5" s="174" t="s">
        <v>82</v>
      </c>
      <c r="S5" s="4" t="s">
        <v>13</v>
      </c>
      <c r="T5" s="178" t="s">
        <v>84</v>
      </c>
      <c r="U5" s="174" t="s">
        <v>88</v>
      </c>
      <c r="V5" s="12" t="s">
        <v>11</v>
      </c>
    </row>
    <row r="6" spans="1:22" x14ac:dyDescent="0.3">
      <c r="B6" s="27"/>
      <c r="C6" s="78"/>
      <c r="D6" s="26"/>
      <c r="E6" s="27"/>
      <c r="F6" s="58"/>
      <c r="G6" s="58"/>
      <c r="H6" s="34">
        <v>0.18</v>
      </c>
      <c r="I6" s="29"/>
      <c r="J6" s="30">
        <v>0.02</v>
      </c>
      <c r="K6" s="31">
        <v>0.1</v>
      </c>
      <c r="L6" s="31">
        <v>0.18</v>
      </c>
      <c r="M6" s="31"/>
      <c r="N6" s="32"/>
      <c r="O6" s="33"/>
      <c r="P6" s="28"/>
      <c r="Q6" s="34">
        <v>0.02</v>
      </c>
      <c r="R6" s="35">
        <v>0.05</v>
      </c>
      <c r="S6" s="29"/>
      <c r="T6" s="29"/>
      <c r="U6" s="36"/>
      <c r="V6" s="32"/>
    </row>
    <row r="7" spans="1:22" s="63" customFormat="1" ht="24" customHeight="1" x14ac:dyDescent="0.3">
      <c r="A7" s="182"/>
      <c r="B7" s="88"/>
      <c r="C7" s="85"/>
      <c r="D7" s="86"/>
      <c r="E7" s="87"/>
      <c r="F7" s="88"/>
      <c r="G7" s="88"/>
      <c r="H7" s="89"/>
      <c r="I7" s="90"/>
      <c r="J7" s="91"/>
      <c r="K7" s="92"/>
      <c r="L7" s="92"/>
      <c r="M7" s="92"/>
      <c r="N7" s="93"/>
      <c r="O7" s="94"/>
      <c r="P7" s="95"/>
      <c r="Q7" s="89"/>
      <c r="R7" s="96"/>
      <c r="S7" s="90"/>
      <c r="T7" s="90"/>
      <c r="U7" s="97"/>
      <c r="V7" s="93"/>
    </row>
    <row r="8" spans="1:22" ht="39.6" customHeight="1" x14ac:dyDescent="0.3">
      <c r="A8" s="117">
        <v>52838</v>
      </c>
      <c r="B8" s="180" t="s">
        <v>25</v>
      </c>
      <c r="C8" s="79">
        <v>45061</v>
      </c>
      <c r="D8" s="60">
        <v>7</v>
      </c>
      <c r="E8" s="37">
        <f>2254122*81%</f>
        <v>1825838.82</v>
      </c>
      <c r="F8" s="59">
        <v>0</v>
      </c>
      <c r="G8" s="59">
        <f>ROUND(E8-F8,0)</f>
        <v>1825839</v>
      </c>
      <c r="H8" s="28">
        <f>ROUND(G8*H6,0)</f>
        <v>328651</v>
      </c>
      <c r="I8" s="29">
        <f>G8+H8</f>
        <v>2154490</v>
      </c>
      <c r="J8" s="38">
        <f>ROUND(G8*$J$6,)</f>
        <v>36517</v>
      </c>
      <c r="K8" s="32">
        <f>ROUND(G8*$K$6,)</f>
        <v>182584</v>
      </c>
      <c r="L8" s="32">
        <f>H8</f>
        <v>328651</v>
      </c>
      <c r="M8" s="32">
        <v>0</v>
      </c>
      <c r="N8" s="32">
        <f>ROUND(I8-SUM(J8:M8),0)</f>
        <v>1606738</v>
      </c>
      <c r="O8" s="39" t="s">
        <v>27</v>
      </c>
      <c r="P8" s="28">
        <v>2500000</v>
      </c>
      <c r="Q8" s="28">
        <f>P8*Q6</f>
        <v>50000</v>
      </c>
      <c r="R8" s="29">
        <v>0</v>
      </c>
      <c r="S8" s="29">
        <v>0</v>
      </c>
      <c r="T8" s="29"/>
      <c r="U8" s="36">
        <f>ROUND(P8-Q8-R8-S8,0)</f>
        <v>2450000</v>
      </c>
      <c r="V8" s="40" t="s">
        <v>26</v>
      </c>
    </row>
    <row r="9" spans="1:22" ht="39.6" customHeight="1" x14ac:dyDescent="0.3">
      <c r="A9" s="117">
        <v>52838</v>
      </c>
      <c r="B9" s="180" t="s">
        <v>25</v>
      </c>
      <c r="C9" s="79">
        <v>45054</v>
      </c>
      <c r="D9" s="60">
        <v>2</v>
      </c>
      <c r="E9" s="37">
        <f>588125*81%</f>
        <v>476381.25000000006</v>
      </c>
      <c r="F9" s="59">
        <v>0</v>
      </c>
      <c r="G9" s="59">
        <f t="shared" ref="G9:G12" si="0">ROUND(E9-F9,0)</f>
        <v>476381</v>
      </c>
      <c r="H9" s="28">
        <f>ROUND(G9*H6,0)</f>
        <v>85749</v>
      </c>
      <c r="I9" s="29">
        <f t="shared" ref="I9:I13" si="1">G9+H9</f>
        <v>562130</v>
      </c>
      <c r="J9" s="38">
        <f t="shared" ref="J9:J12" si="2">ROUND(G9*$J$6,)</f>
        <v>9528</v>
      </c>
      <c r="K9" s="32">
        <f t="shared" ref="K9:K12" si="3">ROUND(G9*$K$6,)</f>
        <v>47638</v>
      </c>
      <c r="L9" s="32">
        <f t="shared" ref="L9:L12" si="4">H9</f>
        <v>85749</v>
      </c>
      <c r="M9" s="32">
        <v>0</v>
      </c>
      <c r="N9" s="32">
        <f t="shared" ref="N9:N11" si="5">ROUND(I9-SUM(J9:M9),0)</f>
        <v>419215</v>
      </c>
      <c r="O9" s="39" t="s">
        <v>38</v>
      </c>
      <c r="P9" s="28">
        <v>6192370</v>
      </c>
      <c r="Q9" s="28">
        <v>0</v>
      </c>
      <c r="R9" s="29"/>
      <c r="S9" s="29"/>
      <c r="T9" s="29"/>
      <c r="U9" s="36">
        <v>6192370</v>
      </c>
      <c r="V9" s="40" t="s">
        <v>28</v>
      </c>
    </row>
    <row r="10" spans="1:22" ht="39.6" customHeight="1" x14ac:dyDescent="0.3">
      <c r="A10" s="117">
        <v>52838</v>
      </c>
      <c r="B10" s="180" t="s">
        <v>25</v>
      </c>
      <c r="C10" s="79">
        <v>45056</v>
      </c>
      <c r="D10" s="60">
        <v>5</v>
      </c>
      <c r="E10" s="37">
        <f>7378761*81%</f>
        <v>5976796.4100000001</v>
      </c>
      <c r="F10" s="59">
        <v>0</v>
      </c>
      <c r="G10" s="59">
        <f t="shared" si="0"/>
        <v>5976796</v>
      </c>
      <c r="H10" s="28">
        <f>ROUND(G10*H6,0)</f>
        <v>1075823</v>
      </c>
      <c r="I10" s="29">
        <f t="shared" si="1"/>
        <v>7052619</v>
      </c>
      <c r="J10" s="38">
        <f t="shared" si="2"/>
        <v>119536</v>
      </c>
      <c r="K10" s="32">
        <f t="shared" si="3"/>
        <v>597680</v>
      </c>
      <c r="L10" s="32">
        <f t="shared" si="4"/>
        <v>1075823</v>
      </c>
      <c r="M10" s="32">
        <v>0</v>
      </c>
      <c r="N10" s="32">
        <f t="shared" si="5"/>
        <v>5259580</v>
      </c>
      <c r="O10" s="39"/>
      <c r="P10" s="28"/>
      <c r="Q10" s="28">
        <f>P10*Q6</f>
        <v>0</v>
      </c>
      <c r="R10" s="29">
        <f>P10*R6</f>
        <v>0</v>
      </c>
      <c r="S10" s="29">
        <v>0</v>
      </c>
      <c r="T10" s="29"/>
      <c r="U10" s="36">
        <f>ROUND(P10-Q10-R10-S10,0)</f>
        <v>0</v>
      </c>
      <c r="V10" s="40"/>
    </row>
    <row r="11" spans="1:22" ht="39.6" customHeight="1" x14ac:dyDescent="0.3">
      <c r="A11" s="117">
        <v>52838</v>
      </c>
      <c r="B11" s="180" t="s">
        <v>25</v>
      </c>
      <c r="C11" s="79">
        <v>45054</v>
      </c>
      <c r="D11" s="60">
        <v>1</v>
      </c>
      <c r="E11" s="37">
        <f>1903533*81%</f>
        <v>1541861.7300000002</v>
      </c>
      <c r="F11" s="59">
        <v>0</v>
      </c>
      <c r="G11" s="59">
        <f t="shared" si="0"/>
        <v>1541862</v>
      </c>
      <c r="H11" s="28">
        <f>ROUND(G11*H6,0)</f>
        <v>277535</v>
      </c>
      <c r="I11" s="29">
        <f t="shared" si="1"/>
        <v>1819397</v>
      </c>
      <c r="J11" s="38">
        <f t="shared" si="2"/>
        <v>30837</v>
      </c>
      <c r="K11" s="32">
        <f t="shared" si="3"/>
        <v>154186</v>
      </c>
      <c r="L11" s="32">
        <f t="shared" si="4"/>
        <v>277535</v>
      </c>
      <c r="M11" s="32">
        <v>0</v>
      </c>
      <c r="N11" s="32">
        <f t="shared" si="5"/>
        <v>1356839</v>
      </c>
      <c r="O11" s="39"/>
      <c r="P11" s="28"/>
      <c r="Q11" s="28">
        <v>0</v>
      </c>
      <c r="R11" s="29">
        <v>0</v>
      </c>
      <c r="S11" s="29">
        <v>0</v>
      </c>
      <c r="T11" s="29"/>
      <c r="U11" s="36">
        <f>P11-Q11-R11-S11</f>
        <v>0</v>
      </c>
      <c r="V11" s="40"/>
    </row>
    <row r="12" spans="1:22" ht="39.6" customHeight="1" x14ac:dyDescent="0.3">
      <c r="A12" s="117">
        <v>52838</v>
      </c>
      <c r="B12" s="180" t="s">
        <v>25</v>
      </c>
      <c r="C12" s="100">
        <v>45108</v>
      </c>
      <c r="D12" s="60">
        <v>9</v>
      </c>
      <c r="E12" s="37">
        <v>2714719</v>
      </c>
      <c r="F12" s="59">
        <v>0</v>
      </c>
      <c r="G12" s="59">
        <f t="shared" si="0"/>
        <v>2714719</v>
      </c>
      <c r="H12" s="28">
        <f>ROUND(G12*18%,0)</f>
        <v>488649</v>
      </c>
      <c r="I12" s="29">
        <f t="shared" si="1"/>
        <v>3203368</v>
      </c>
      <c r="J12" s="38">
        <f t="shared" si="2"/>
        <v>54294</v>
      </c>
      <c r="K12" s="32">
        <f t="shared" si="3"/>
        <v>271472</v>
      </c>
      <c r="L12" s="32">
        <f t="shared" si="4"/>
        <v>488649</v>
      </c>
      <c r="M12" s="32">
        <v>0</v>
      </c>
      <c r="N12" s="32">
        <f t="shared" ref="N12:N13" si="6">ROUND(I12-SUM(J12:M12),0)</f>
        <v>2388953</v>
      </c>
      <c r="O12" s="39"/>
      <c r="P12" s="44"/>
      <c r="Q12" s="44"/>
      <c r="R12" s="44"/>
      <c r="S12" s="44"/>
      <c r="T12" s="45"/>
      <c r="U12" s="47"/>
      <c r="V12" s="48"/>
    </row>
    <row r="13" spans="1:22" ht="39.6" customHeight="1" x14ac:dyDescent="0.3">
      <c r="A13" s="117">
        <v>52838</v>
      </c>
      <c r="B13" s="180" t="s">
        <v>36</v>
      </c>
      <c r="C13" s="100">
        <v>45192</v>
      </c>
      <c r="D13" s="60" t="s">
        <v>37</v>
      </c>
      <c r="E13" s="37">
        <v>1767758</v>
      </c>
      <c r="G13" s="59">
        <f>ROUND(E13-F13,0)</f>
        <v>1767758</v>
      </c>
      <c r="H13" s="28"/>
      <c r="I13" s="29">
        <f t="shared" si="1"/>
        <v>1767758</v>
      </c>
      <c r="J13" s="38"/>
      <c r="K13" s="32"/>
      <c r="L13" s="32"/>
      <c r="M13" s="32"/>
      <c r="N13" s="32">
        <f t="shared" si="6"/>
        <v>1767758</v>
      </c>
      <c r="O13" s="39"/>
      <c r="P13" s="44"/>
      <c r="Q13" s="44"/>
      <c r="R13" s="44"/>
      <c r="S13" s="44"/>
      <c r="T13" s="45"/>
      <c r="U13" s="47"/>
      <c r="V13" s="48"/>
    </row>
    <row r="14" spans="1:22" ht="39.6" customHeight="1" x14ac:dyDescent="0.3">
      <c r="B14" s="43"/>
      <c r="C14" s="80"/>
      <c r="D14" s="42"/>
      <c r="E14" s="43"/>
      <c r="F14" s="44"/>
      <c r="G14" s="43"/>
      <c r="H14" s="44"/>
      <c r="I14" s="45"/>
      <c r="J14" s="26"/>
      <c r="K14" s="46"/>
      <c r="L14" s="46"/>
      <c r="M14" s="46"/>
      <c r="N14" s="46"/>
      <c r="O14" s="39"/>
      <c r="P14" s="44"/>
      <c r="Q14" s="44"/>
      <c r="R14" s="44"/>
      <c r="S14" s="44"/>
      <c r="T14" s="45"/>
      <c r="U14" s="47"/>
      <c r="V14" s="48"/>
    </row>
    <row r="15" spans="1:22" s="63" customFormat="1" ht="39.6" customHeight="1" x14ac:dyDescent="0.3">
      <c r="A15" s="182"/>
      <c r="B15" s="66"/>
      <c r="C15" s="81"/>
      <c r="D15" s="65"/>
      <c r="E15" s="66"/>
      <c r="F15" s="67"/>
      <c r="G15" s="66"/>
      <c r="H15" s="67"/>
      <c r="I15" s="68"/>
      <c r="J15" s="69"/>
      <c r="K15" s="70"/>
      <c r="L15" s="70"/>
      <c r="M15" s="70"/>
      <c r="N15" s="70"/>
      <c r="O15" s="71"/>
      <c r="P15" s="67"/>
      <c r="Q15" s="67"/>
      <c r="R15" s="67"/>
      <c r="S15" s="67"/>
      <c r="T15" s="68"/>
      <c r="U15" s="72"/>
      <c r="V15" s="73"/>
    </row>
    <row r="16" spans="1:22" ht="39.6" customHeight="1" x14ac:dyDescent="0.3">
      <c r="A16" s="117">
        <v>52837</v>
      </c>
      <c r="B16" s="43" t="s">
        <v>29</v>
      </c>
      <c r="C16" s="80">
        <v>45063</v>
      </c>
      <c r="D16" s="42">
        <v>6</v>
      </c>
      <c r="E16" s="43">
        <v>1862247.51</v>
      </c>
      <c r="F16" s="44">
        <v>0</v>
      </c>
      <c r="G16" s="43">
        <v>1862248</v>
      </c>
      <c r="H16" s="44">
        <v>335205</v>
      </c>
      <c r="I16" s="45">
        <v>2197453</v>
      </c>
      <c r="J16" s="26">
        <v>37245</v>
      </c>
      <c r="K16" s="46">
        <v>186225</v>
      </c>
      <c r="L16" s="46">
        <v>335205</v>
      </c>
      <c r="M16" s="46">
        <v>0</v>
      </c>
      <c r="N16" s="46">
        <v>1638778</v>
      </c>
      <c r="O16" s="39" t="s">
        <v>30</v>
      </c>
      <c r="P16" s="44">
        <v>2500000</v>
      </c>
      <c r="Q16" s="44">
        <v>50000</v>
      </c>
      <c r="R16" s="44">
        <v>0</v>
      </c>
      <c r="S16" s="44">
        <v>0</v>
      </c>
      <c r="T16" s="45"/>
      <c r="U16" s="47">
        <f>P16-Q16</f>
        <v>2450000</v>
      </c>
      <c r="V16" s="48" t="s">
        <v>31</v>
      </c>
    </row>
    <row r="17" spans="1:22" ht="39.6" customHeight="1" x14ac:dyDescent="0.3">
      <c r="A17" s="117">
        <v>52837</v>
      </c>
      <c r="B17" s="43" t="s">
        <v>29</v>
      </c>
      <c r="C17" s="80">
        <v>45055</v>
      </c>
      <c r="D17" s="42">
        <v>3</v>
      </c>
      <c r="E17" s="43">
        <v>1588245.57</v>
      </c>
      <c r="F17" s="44">
        <v>0</v>
      </c>
      <c r="G17" s="43">
        <v>1588246</v>
      </c>
      <c r="H17" s="44">
        <v>285884</v>
      </c>
      <c r="I17" s="45">
        <v>1874130</v>
      </c>
      <c r="J17" s="26">
        <v>31765</v>
      </c>
      <c r="K17" s="46">
        <v>158825</v>
      </c>
      <c r="L17" s="46">
        <v>285884</v>
      </c>
      <c r="M17" s="46">
        <v>0</v>
      </c>
      <c r="N17" s="46">
        <v>1397656</v>
      </c>
      <c r="O17" s="39" t="s">
        <v>40</v>
      </c>
      <c r="P17" s="44">
        <v>3009962</v>
      </c>
      <c r="Q17" s="44">
        <v>0</v>
      </c>
      <c r="R17" s="44"/>
      <c r="S17" s="44"/>
      <c r="T17" s="45"/>
      <c r="U17" s="47">
        <f t="shared" ref="U17:U18" si="7">P17-Q17</f>
        <v>3009962</v>
      </c>
      <c r="V17" s="48" t="s">
        <v>32</v>
      </c>
    </row>
    <row r="18" spans="1:22" ht="39.6" customHeight="1" x14ac:dyDescent="0.3">
      <c r="A18" s="117">
        <v>52837</v>
      </c>
      <c r="B18" s="43" t="s">
        <v>29</v>
      </c>
      <c r="C18" s="80">
        <v>45055</v>
      </c>
      <c r="D18" s="42">
        <v>4</v>
      </c>
      <c r="E18" s="43">
        <v>1505904.2100000002</v>
      </c>
      <c r="F18" s="44">
        <v>0</v>
      </c>
      <c r="G18" s="43">
        <v>1505904</v>
      </c>
      <c r="H18" s="44">
        <v>271063</v>
      </c>
      <c r="I18" s="45">
        <v>1776967</v>
      </c>
      <c r="J18" s="26">
        <v>30118</v>
      </c>
      <c r="K18" s="46">
        <v>150590</v>
      </c>
      <c r="L18" s="46">
        <v>271063</v>
      </c>
      <c r="M18" s="46">
        <v>0</v>
      </c>
      <c r="N18" s="46">
        <v>1325196</v>
      </c>
      <c r="O18" s="39" t="s">
        <v>41</v>
      </c>
      <c r="P18" s="44">
        <v>356805</v>
      </c>
      <c r="Q18" s="44">
        <v>0</v>
      </c>
      <c r="R18" s="44">
        <v>0</v>
      </c>
      <c r="S18" s="44">
        <v>0</v>
      </c>
      <c r="T18" s="45"/>
      <c r="U18" s="47">
        <f t="shared" si="7"/>
        <v>356805</v>
      </c>
      <c r="V18" s="48" t="s">
        <v>39</v>
      </c>
    </row>
    <row r="19" spans="1:22" ht="39.6" customHeight="1" x14ac:dyDescent="0.3">
      <c r="A19" s="117">
        <v>52837</v>
      </c>
      <c r="B19" s="43" t="s">
        <v>29</v>
      </c>
      <c r="C19" s="80">
        <v>45061</v>
      </c>
      <c r="D19" s="42">
        <v>8</v>
      </c>
      <c r="E19" s="43">
        <v>1248106.32</v>
      </c>
      <c r="F19" s="44">
        <v>0</v>
      </c>
      <c r="G19" s="43">
        <v>1248106</v>
      </c>
      <c r="H19" s="44">
        <v>224659</v>
      </c>
      <c r="I19" s="45">
        <v>1472765</v>
      </c>
      <c r="J19" s="26">
        <v>24962</v>
      </c>
      <c r="K19" s="46">
        <v>124811</v>
      </c>
      <c r="L19" s="46">
        <v>224659</v>
      </c>
      <c r="M19" s="46">
        <v>0</v>
      </c>
      <c r="N19" s="46">
        <v>1098333</v>
      </c>
      <c r="O19" s="39"/>
      <c r="P19" s="44"/>
      <c r="Q19" s="44">
        <v>0</v>
      </c>
      <c r="R19" s="44">
        <v>0</v>
      </c>
      <c r="S19" s="44">
        <v>0</v>
      </c>
      <c r="T19" s="45"/>
      <c r="U19" s="47">
        <v>0</v>
      </c>
      <c r="V19" s="48"/>
    </row>
    <row r="20" spans="1:22" x14ac:dyDescent="0.3">
      <c r="A20" s="117">
        <v>52837</v>
      </c>
      <c r="B20" s="183" t="s">
        <v>33</v>
      </c>
      <c r="C20" s="100">
        <v>45192</v>
      </c>
      <c r="D20" s="42" t="s">
        <v>34</v>
      </c>
      <c r="E20" s="43">
        <v>1116811</v>
      </c>
      <c r="F20" s="44"/>
      <c r="G20" s="59">
        <f>ROUND(E20-F20,0)</f>
        <v>1116811</v>
      </c>
      <c r="H20" s="44"/>
      <c r="I20" s="29">
        <f>G20+H20</f>
        <v>1116811</v>
      </c>
      <c r="J20" s="26"/>
      <c r="K20" s="46"/>
      <c r="L20" s="46"/>
      <c r="M20" s="46"/>
      <c r="N20" s="32">
        <f>ROUND(I20-SUM(J20:M20),0)</f>
        <v>1116811</v>
      </c>
      <c r="O20" s="39"/>
      <c r="P20" s="44"/>
      <c r="Q20" s="44"/>
      <c r="R20" s="44"/>
      <c r="S20" s="44"/>
      <c r="T20" s="45"/>
      <c r="U20" s="47"/>
      <c r="V20" s="48"/>
    </row>
    <row r="21" spans="1:22" x14ac:dyDescent="0.3">
      <c r="A21" s="117">
        <v>52837</v>
      </c>
      <c r="B21" s="43"/>
      <c r="C21" s="80"/>
      <c r="D21" s="42"/>
      <c r="E21" s="43"/>
      <c r="F21" s="44"/>
      <c r="G21" s="43"/>
      <c r="H21" s="44"/>
      <c r="I21" s="45"/>
      <c r="J21" s="26"/>
      <c r="K21" s="46"/>
      <c r="L21" s="46"/>
      <c r="M21" s="46"/>
      <c r="N21" s="46"/>
      <c r="O21" s="39"/>
      <c r="P21" s="44"/>
      <c r="Q21" s="44"/>
      <c r="R21" s="44"/>
      <c r="S21" s="44"/>
      <c r="T21" s="45"/>
      <c r="U21" s="47"/>
      <c r="V21" s="48"/>
    </row>
    <row r="22" spans="1:22" x14ac:dyDescent="0.3">
      <c r="B22" s="43"/>
      <c r="C22" s="80"/>
      <c r="D22" s="42"/>
      <c r="E22" s="43"/>
      <c r="F22" s="44"/>
      <c r="G22" s="43"/>
      <c r="H22" s="44"/>
      <c r="I22" s="45"/>
      <c r="J22" s="26"/>
      <c r="K22" s="46"/>
      <c r="L22" s="46"/>
      <c r="M22" s="46"/>
      <c r="N22" s="46"/>
      <c r="O22" s="39"/>
      <c r="P22" s="44"/>
      <c r="Q22" s="44"/>
      <c r="R22" s="44"/>
      <c r="S22" s="44"/>
      <c r="T22" s="45"/>
      <c r="U22" s="47"/>
      <c r="V22" s="48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46"/>
  <sheetViews>
    <sheetView topLeftCell="I1" zoomScale="85" zoomScaleNormal="85" workbookViewId="0">
      <selection activeCell="X7" sqref="X7:X8"/>
    </sheetView>
  </sheetViews>
  <sheetFormatPr defaultColWidth="9" defaultRowHeight="14.4" x14ac:dyDescent="0.3"/>
  <cols>
    <col min="1" max="1" width="9" style="15"/>
    <col min="2" max="2" width="30" style="15" customWidth="1"/>
    <col min="3" max="3" width="13.44140625" style="74" bestFit="1" customWidth="1"/>
    <col min="4" max="4" width="11.5546875" style="15" bestFit="1" customWidth="1"/>
    <col min="5" max="5" width="28.44140625" style="15" bestFit="1" customWidth="1"/>
    <col min="6" max="6" width="22.88671875" style="15" customWidth="1"/>
    <col min="7" max="7" width="16.33203125" style="15" customWidth="1"/>
    <col min="8" max="8" width="13.33203125" style="15" customWidth="1"/>
    <col min="9" max="9" width="16.5546875" style="15" customWidth="1"/>
    <col min="10" max="10" width="15.33203125" style="56" bestFit="1" customWidth="1"/>
    <col min="11" max="11" width="16.44140625" style="56" bestFit="1" customWidth="1"/>
    <col min="12" max="12" width="14.109375" style="15" bestFit="1" customWidth="1"/>
    <col min="13" max="13" width="15" style="15" bestFit="1" customWidth="1"/>
    <col min="14" max="14" width="14.88671875" style="15" customWidth="1"/>
    <col min="15" max="15" width="16.5546875" style="15" customWidth="1"/>
    <col min="16" max="16" width="16.88671875" style="15" customWidth="1"/>
    <col min="17" max="17" width="7.33203125" style="15" customWidth="1"/>
    <col min="18" max="18" width="21.6640625" style="15" bestFit="1" customWidth="1"/>
    <col min="19" max="19" width="12.6640625" style="15" bestFit="1" customWidth="1"/>
    <col min="20" max="20" width="14.5546875" style="15" bestFit="1" customWidth="1"/>
    <col min="21" max="23" width="14.5546875" style="15" customWidth="1"/>
    <col min="24" max="24" width="17.88671875" style="15" customWidth="1"/>
    <col min="25" max="25" width="84.109375" style="15" bestFit="1" customWidth="1"/>
    <col min="26" max="16384" width="9" style="15"/>
  </cols>
  <sheetData>
    <row r="1" spans="1:25" ht="15" thickBot="1" x14ac:dyDescent="0.35">
      <c r="B1" s="14" t="s">
        <v>22</v>
      </c>
      <c r="G1" s="16"/>
      <c r="H1" s="16"/>
      <c r="I1" s="16"/>
      <c r="J1" s="17"/>
      <c r="K1" s="17"/>
    </row>
    <row r="2" spans="1:25" ht="20.399999999999999" thickBot="1" x14ac:dyDescent="0.35">
      <c r="B2" s="18" t="s">
        <v>0</v>
      </c>
      <c r="C2" s="75"/>
      <c r="D2" s="19" t="s">
        <v>23</v>
      </c>
      <c r="E2" s="19"/>
      <c r="F2" s="19"/>
      <c r="I2" s="20" t="s">
        <v>24</v>
      </c>
      <c r="K2" s="20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5" ht="15" thickBot="1" x14ac:dyDescent="0.35">
      <c r="B3" s="22"/>
      <c r="C3" s="76"/>
      <c r="D3" s="22"/>
      <c r="E3" s="22"/>
      <c r="F3" s="22"/>
      <c r="G3" s="22"/>
      <c r="H3" s="21"/>
      <c r="I3" s="21"/>
      <c r="J3" s="23"/>
      <c r="K3" s="23"/>
      <c r="L3" s="21"/>
      <c r="M3" s="21"/>
      <c r="R3" s="21"/>
      <c r="S3" s="24"/>
      <c r="T3" s="24"/>
      <c r="U3" s="24"/>
      <c r="V3" s="24"/>
      <c r="W3" s="24"/>
      <c r="X3" s="24"/>
      <c r="Y3" s="24"/>
    </row>
    <row r="4" spans="1:25" ht="70.5" customHeight="1" thickBot="1" x14ac:dyDescent="0.35">
      <c r="B4" s="1" t="s">
        <v>1</v>
      </c>
      <c r="C4" s="77" t="s">
        <v>2</v>
      </c>
      <c r="D4" s="8" t="s">
        <v>3</v>
      </c>
      <c r="E4" s="8" t="s">
        <v>42</v>
      </c>
      <c r="F4" s="61" t="s">
        <v>43</v>
      </c>
      <c r="G4" s="10" t="s">
        <v>4</v>
      </c>
      <c r="H4" s="8" t="s">
        <v>15</v>
      </c>
      <c r="I4" s="61" t="s">
        <v>16</v>
      </c>
      <c r="J4" s="2" t="s">
        <v>5</v>
      </c>
      <c r="K4" s="13" t="s">
        <v>6</v>
      </c>
      <c r="L4" s="4" t="s">
        <v>21</v>
      </c>
      <c r="M4" s="12" t="s">
        <v>12</v>
      </c>
      <c r="N4" s="12" t="s">
        <v>7</v>
      </c>
      <c r="O4" s="12" t="s">
        <v>20</v>
      </c>
      <c r="P4" s="12" t="s">
        <v>8</v>
      </c>
      <c r="Q4" s="5"/>
      <c r="R4" s="4" t="s">
        <v>9</v>
      </c>
      <c r="S4" s="4" t="s">
        <v>6</v>
      </c>
      <c r="T4" s="4" t="s">
        <v>14</v>
      </c>
      <c r="U4" s="3" t="s">
        <v>12</v>
      </c>
      <c r="V4" s="4" t="s">
        <v>13</v>
      </c>
      <c r="W4" s="12" t="s">
        <v>20</v>
      </c>
      <c r="X4" s="4" t="s">
        <v>10</v>
      </c>
      <c r="Y4" s="12" t="s">
        <v>11</v>
      </c>
    </row>
    <row r="5" spans="1:25" x14ac:dyDescent="0.3">
      <c r="B5" s="25"/>
      <c r="C5" s="78"/>
      <c r="D5" s="26"/>
      <c r="E5" s="104"/>
      <c r="F5" s="105"/>
      <c r="G5" s="106"/>
      <c r="H5" s="58"/>
      <c r="I5" s="58"/>
      <c r="J5" s="34">
        <v>0.18</v>
      </c>
      <c r="K5" s="29"/>
      <c r="L5" s="30">
        <v>0.02</v>
      </c>
      <c r="M5" s="31">
        <v>0.1</v>
      </c>
      <c r="N5" s="31">
        <v>0.18</v>
      </c>
      <c r="O5" s="31"/>
      <c r="P5" s="32"/>
      <c r="Q5" s="5"/>
      <c r="R5" s="33"/>
      <c r="S5" s="28"/>
      <c r="T5" s="34">
        <v>0.02</v>
      </c>
      <c r="U5" s="35">
        <v>0.05</v>
      </c>
      <c r="V5" s="29"/>
      <c r="W5" s="29"/>
      <c r="X5" s="36"/>
      <c r="Y5" s="32"/>
    </row>
    <row r="6" spans="1:25" s="63" customFormat="1" ht="24" customHeight="1" x14ac:dyDescent="0.3">
      <c r="B6" s="84"/>
      <c r="C6" s="85"/>
      <c r="D6" s="86"/>
      <c r="E6" s="71"/>
      <c r="F6" s="67"/>
      <c r="G6" s="72"/>
      <c r="H6" s="88"/>
      <c r="I6" s="88"/>
      <c r="J6" s="89"/>
      <c r="K6" s="90"/>
      <c r="L6" s="91"/>
      <c r="M6" s="92"/>
      <c r="N6" s="92"/>
      <c r="O6" s="92"/>
      <c r="P6" s="93"/>
      <c r="Q6" s="98">
        <f>A7</f>
        <v>52838</v>
      </c>
      <c r="R6" s="94"/>
      <c r="S6" s="95"/>
      <c r="T6" s="89"/>
      <c r="U6" s="96"/>
      <c r="V6" s="90"/>
      <c r="W6" s="90"/>
      <c r="X6" s="97"/>
      <c r="Y6" s="93"/>
    </row>
    <row r="7" spans="1:25" ht="39.6" customHeight="1" x14ac:dyDescent="0.3">
      <c r="A7" s="15">
        <v>52838</v>
      </c>
      <c r="B7" s="7" t="s">
        <v>25</v>
      </c>
      <c r="C7" s="79">
        <v>45061</v>
      </c>
      <c r="D7" s="60">
        <v>7</v>
      </c>
      <c r="E7" s="107">
        <v>2254122</v>
      </c>
      <c r="F7" s="108">
        <f>E7*81%</f>
        <v>1825838.82</v>
      </c>
      <c r="G7" s="72">
        <f>2254122*81%</f>
        <v>1825838.82</v>
      </c>
      <c r="H7" s="59">
        <v>0</v>
      </c>
      <c r="I7" s="59">
        <f>ROUND(G7-H7,0)</f>
        <v>1825839</v>
      </c>
      <c r="J7" s="28">
        <f>ROUND(I7*J5,0)</f>
        <v>328651</v>
      </c>
      <c r="K7" s="29">
        <f>I7+J7</f>
        <v>2154490</v>
      </c>
      <c r="L7" s="38">
        <f>ROUND(I7*$L$5,)</f>
        <v>36517</v>
      </c>
      <c r="M7" s="32">
        <f>ROUND(I7*$M$5,)</f>
        <v>182584</v>
      </c>
      <c r="N7" s="32">
        <f>J7</f>
        <v>328651</v>
      </c>
      <c r="O7" s="32">
        <v>0</v>
      </c>
      <c r="P7" s="32">
        <f>ROUND(K7-SUM(L7:O7),0)</f>
        <v>1606738</v>
      </c>
      <c r="Q7" s="5"/>
      <c r="R7" s="39" t="s">
        <v>27</v>
      </c>
      <c r="S7" s="28">
        <v>2500000</v>
      </c>
      <c r="T7" s="28">
        <f>S7*T5</f>
        <v>50000</v>
      </c>
      <c r="U7" s="29">
        <v>0</v>
      </c>
      <c r="V7" s="29">
        <v>0</v>
      </c>
      <c r="W7" s="29"/>
      <c r="X7" s="36">
        <f>ROUND(S7-T7-U7-V7,0)</f>
        <v>2450000</v>
      </c>
      <c r="Y7" s="40" t="s">
        <v>26</v>
      </c>
    </row>
    <row r="8" spans="1:25" ht="39.6" customHeight="1" x14ac:dyDescent="0.3">
      <c r="B8" s="7" t="s">
        <v>25</v>
      </c>
      <c r="C8" s="79">
        <v>45054</v>
      </c>
      <c r="D8" s="60">
        <v>2</v>
      </c>
      <c r="E8" s="107">
        <v>1903533</v>
      </c>
      <c r="F8" s="108">
        <f>E8*81%</f>
        <v>1541861.7300000002</v>
      </c>
      <c r="G8" s="72">
        <f>588125*81%</f>
        <v>476381.25000000006</v>
      </c>
      <c r="H8" s="59">
        <v>0</v>
      </c>
      <c r="I8" s="59">
        <f t="shared" ref="I8:I12" si="0">ROUND(G8-H8,0)</f>
        <v>476381</v>
      </c>
      <c r="J8" s="28">
        <f>ROUND(I8*J5,0)</f>
        <v>85749</v>
      </c>
      <c r="K8" s="29">
        <f t="shared" ref="K8:K12" si="1">I8+J8</f>
        <v>562130</v>
      </c>
      <c r="L8" s="38">
        <f t="shared" ref="L8:L11" si="2">ROUND(I8*$L$5,)</f>
        <v>9528</v>
      </c>
      <c r="M8" s="32">
        <f t="shared" ref="M8:M11" si="3">ROUND(I8*$M$5,)</f>
        <v>47638</v>
      </c>
      <c r="N8" s="32">
        <f t="shared" ref="N8:N11" si="4">J8</f>
        <v>85749</v>
      </c>
      <c r="O8" s="32">
        <v>0</v>
      </c>
      <c r="P8" s="32">
        <f t="shared" ref="P8:P10" si="5">ROUND(K8-SUM(L8:O8),0)</f>
        <v>419215</v>
      </c>
      <c r="Q8" s="5"/>
      <c r="R8" s="39" t="s">
        <v>38</v>
      </c>
      <c r="S8" s="28">
        <v>6192370</v>
      </c>
      <c r="T8" s="28">
        <v>0</v>
      </c>
      <c r="U8" s="29"/>
      <c r="V8" s="29"/>
      <c r="W8" s="29"/>
      <c r="X8" s="36">
        <v>6192370</v>
      </c>
      <c r="Y8" s="40" t="s">
        <v>28</v>
      </c>
    </row>
    <row r="9" spans="1:25" ht="39.6" customHeight="1" x14ac:dyDescent="0.3">
      <c r="B9" s="7" t="s">
        <v>25</v>
      </c>
      <c r="C9" s="79">
        <v>45056</v>
      </c>
      <c r="D9" s="60">
        <v>5</v>
      </c>
      <c r="E9" s="107">
        <v>588125</v>
      </c>
      <c r="F9" s="108">
        <f>E9*81%</f>
        <v>476381.25000000006</v>
      </c>
      <c r="G9" s="72">
        <f>7378761*81%</f>
        <v>5976796.4100000001</v>
      </c>
      <c r="H9" s="59">
        <v>0</v>
      </c>
      <c r="I9" s="59">
        <f t="shared" si="0"/>
        <v>5976796</v>
      </c>
      <c r="J9" s="28">
        <f>ROUND(I9*J5,0)</f>
        <v>1075823</v>
      </c>
      <c r="K9" s="29">
        <f t="shared" si="1"/>
        <v>7052619</v>
      </c>
      <c r="L9" s="38">
        <f t="shared" si="2"/>
        <v>119536</v>
      </c>
      <c r="M9" s="32">
        <f t="shared" si="3"/>
        <v>597680</v>
      </c>
      <c r="N9" s="32">
        <f t="shared" si="4"/>
        <v>1075823</v>
      </c>
      <c r="O9" s="32">
        <v>0</v>
      </c>
      <c r="P9" s="32">
        <f t="shared" si="5"/>
        <v>5259580</v>
      </c>
      <c r="Q9" s="5"/>
      <c r="R9" s="39"/>
      <c r="S9" s="28"/>
      <c r="T9" s="28">
        <f>S9*T5</f>
        <v>0</v>
      </c>
      <c r="U9" s="29">
        <f>S9*U5</f>
        <v>0</v>
      </c>
      <c r="V9" s="29">
        <v>0</v>
      </c>
      <c r="W9" s="29"/>
      <c r="X9" s="36">
        <f>ROUND(S9-T9-U9-V9,0)</f>
        <v>0</v>
      </c>
      <c r="Y9" s="40"/>
    </row>
    <row r="10" spans="1:25" ht="39.6" customHeight="1" x14ac:dyDescent="0.3">
      <c r="B10" s="7" t="s">
        <v>25</v>
      </c>
      <c r="C10" s="79">
        <v>45054</v>
      </c>
      <c r="D10" s="60">
        <v>1</v>
      </c>
      <c r="E10" s="107">
        <v>7378761</v>
      </c>
      <c r="F10" s="108">
        <f>E10*81%</f>
        <v>5976796.4100000001</v>
      </c>
      <c r="G10" s="72">
        <f>1903533*81%</f>
        <v>1541861.7300000002</v>
      </c>
      <c r="H10" s="59">
        <v>0</v>
      </c>
      <c r="I10" s="59">
        <f t="shared" si="0"/>
        <v>1541862</v>
      </c>
      <c r="J10" s="28">
        <f>ROUND(I10*J5,0)</f>
        <v>277535</v>
      </c>
      <c r="K10" s="29">
        <f t="shared" si="1"/>
        <v>1819397</v>
      </c>
      <c r="L10" s="38">
        <f t="shared" si="2"/>
        <v>30837</v>
      </c>
      <c r="M10" s="32">
        <f t="shared" si="3"/>
        <v>154186</v>
      </c>
      <c r="N10" s="32">
        <f t="shared" si="4"/>
        <v>277535</v>
      </c>
      <c r="O10" s="32">
        <v>0</v>
      </c>
      <c r="P10" s="32">
        <f t="shared" si="5"/>
        <v>1356839</v>
      </c>
      <c r="Q10" s="11"/>
      <c r="R10" s="39"/>
      <c r="S10" s="28"/>
      <c r="T10" s="28">
        <v>0</v>
      </c>
      <c r="U10" s="29">
        <v>0</v>
      </c>
      <c r="V10" s="29">
        <v>0</v>
      </c>
      <c r="W10" s="29"/>
      <c r="X10" s="36">
        <f>S10-T10-U10-V10</f>
        <v>0</v>
      </c>
      <c r="Y10" s="40"/>
    </row>
    <row r="11" spans="1:25" ht="39.6" customHeight="1" x14ac:dyDescent="0.3">
      <c r="B11" s="7" t="s">
        <v>25</v>
      </c>
      <c r="C11" s="100">
        <v>45108</v>
      </c>
      <c r="D11" s="60">
        <v>9</v>
      </c>
      <c r="E11" s="107">
        <v>735250</v>
      </c>
      <c r="F11" s="108">
        <f>E11*81%</f>
        <v>595552.5</v>
      </c>
      <c r="G11" s="47">
        <v>2714719</v>
      </c>
      <c r="H11" s="59">
        <v>0</v>
      </c>
      <c r="I11" s="59">
        <f t="shared" si="0"/>
        <v>2714719</v>
      </c>
      <c r="J11" s="28">
        <f>ROUND(I11*18%,0)</f>
        <v>488649</v>
      </c>
      <c r="K11" s="29">
        <f t="shared" si="1"/>
        <v>3203368</v>
      </c>
      <c r="L11" s="38">
        <f t="shared" si="2"/>
        <v>54294</v>
      </c>
      <c r="M11" s="32">
        <f t="shared" si="3"/>
        <v>271472</v>
      </c>
      <c r="N11" s="32">
        <f t="shared" si="4"/>
        <v>488649</v>
      </c>
      <c r="O11" s="32">
        <v>0</v>
      </c>
      <c r="P11" s="32">
        <f t="shared" ref="P11:P12" si="6">ROUND(K11-SUM(L11:O11),0)</f>
        <v>2388953</v>
      </c>
      <c r="Q11" s="11"/>
      <c r="R11" s="39"/>
      <c r="S11" s="44"/>
      <c r="T11" s="44"/>
      <c r="U11" s="44"/>
      <c r="V11" s="44"/>
      <c r="W11" s="45"/>
      <c r="X11" s="47"/>
      <c r="Y11" s="48"/>
    </row>
    <row r="12" spans="1:25" ht="39.6" customHeight="1" x14ac:dyDescent="0.3">
      <c r="B12" s="7" t="s">
        <v>36</v>
      </c>
      <c r="C12" s="100">
        <v>45192</v>
      </c>
      <c r="D12" s="60" t="s">
        <v>37</v>
      </c>
      <c r="E12" s="110"/>
      <c r="F12" s="108">
        <f>N7+N8+N9+N10</f>
        <v>1767758</v>
      </c>
      <c r="G12" s="47">
        <v>1767758</v>
      </c>
      <c r="I12" s="59">
        <f t="shared" si="0"/>
        <v>1767758</v>
      </c>
      <c r="J12" s="28"/>
      <c r="K12" s="29">
        <f t="shared" si="1"/>
        <v>1767758</v>
      </c>
      <c r="L12" s="38"/>
      <c r="M12" s="32"/>
      <c r="N12" s="32"/>
      <c r="O12" s="32"/>
      <c r="P12" s="32">
        <f t="shared" si="6"/>
        <v>1767758</v>
      </c>
      <c r="Q12" s="5"/>
      <c r="R12" s="39"/>
      <c r="S12" s="44"/>
      <c r="T12" s="44"/>
      <c r="U12" s="44"/>
      <c r="V12" s="44"/>
      <c r="W12" s="45"/>
      <c r="X12" s="47"/>
      <c r="Y12" s="48"/>
    </row>
    <row r="13" spans="1:25" ht="39.6" customHeight="1" x14ac:dyDescent="0.3">
      <c r="B13" s="41"/>
      <c r="C13" s="80"/>
      <c r="D13" s="42"/>
      <c r="E13" s="110"/>
      <c r="F13" s="109"/>
      <c r="G13" s="47"/>
      <c r="H13" s="37"/>
      <c r="I13" s="43"/>
      <c r="J13" s="44"/>
      <c r="K13" s="45"/>
      <c r="L13" s="26"/>
      <c r="M13" s="46"/>
      <c r="N13" s="46"/>
      <c r="O13" s="46"/>
      <c r="P13" s="46"/>
      <c r="Q13" s="5"/>
      <c r="R13" s="39"/>
      <c r="S13" s="44"/>
      <c r="T13" s="44"/>
      <c r="U13" s="44"/>
      <c r="V13" s="44"/>
      <c r="W13" s="45"/>
      <c r="X13" s="47"/>
      <c r="Y13" s="48"/>
    </row>
    <row r="14" spans="1:25" s="63" customFormat="1" ht="39.6" customHeight="1" x14ac:dyDescent="0.3">
      <c r="B14" s="64"/>
      <c r="C14" s="81"/>
      <c r="D14" s="65"/>
      <c r="E14" s="81"/>
      <c r="F14" s="65"/>
      <c r="G14" s="72"/>
      <c r="H14" s="101"/>
      <c r="I14" s="66"/>
      <c r="J14" s="67"/>
      <c r="K14" s="68"/>
      <c r="L14" s="69"/>
      <c r="M14" s="70"/>
      <c r="N14" s="70"/>
      <c r="O14" s="70"/>
      <c r="P14" s="70"/>
      <c r="Q14" s="98">
        <f>A15</f>
        <v>52837</v>
      </c>
      <c r="R14" s="71"/>
      <c r="S14" s="67"/>
      <c r="T14" s="67"/>
      <c r="U14" s="67"/>
      <c r="V14" s="67"/>
      <c r="W14" s="68"/>
      <c r="X14" s="72"/>
      <c r="Y14" s="73"/>
    </row>
    <row r="15" spans="1:25" ht="39.6" customHeight="1" x14ac:dyDescent="0.3">
      <c r="A15" s="15">
        <v>52837</v>
      </c>
      <c r="B15" s="41" t="s">
        <v>29</v>
      </c>
      <c r="C15" s="80">
        <v>45063</v>
      </c>
      <c r="D15" s="42">
        <v>6</v>
      </c>
      <c r="E15" s="110"/>
      <c r="F15" s="109"/>
      <c r="G15" s="47">
        <v>1862247.51</v>
      </c>
      <c r="H15" s="37">
        <v>0</v>
      </c>
      <c r="I15" s="43">
        <v>1862248</v>
      </c>
      <c r="J15" s="44">
        <v>335205</v>
      </c>
      <c r="K15" s="45">
        <v>2197453</v>
      </c>
      <c r="L15" s="26">
        <v>37245</v>
      </c>
      <c r="M15" s="46">
        <v>186225</v>
      </c>
      <c r="N15" s="46">
        <v>335205</v>
      </c>
      <c r="O15" s="46">
        <v>0</v>
      </c>
      <c r="P15" s="46">
        <v>1638778</v>
      </c>
      <c r="Q15" s="11" t="s">
        <v>35</v>
      </c>
      <c r="R15" s="39" t="s">
        <v>30</v>
      </c>
      <c r="S15" s="44">
        <v>2500000</v>
      </c>
      <c r="T15" s="44">
        <v>50000</v>
      </c>
      <c r="U15" s="44">
        <v>0</v>
      </c>
      <c r="V15" s="44">
        <v>0</v>
      </c>
      <c r="W15" s="45"/>
      <c r="X15" s="47">
        <f>S15-T15</f>
        <v>2450000</v>
      </c>
      <c r="Y15" s="48" t="s">
        <v>31</v>
      </c>
    </row>
    <row r="16" spans="1:25" ht="39.6" customHeight="1" x14ac:dyDescent="0.3">
      <c r="B16" s="41" t="s">
        <v>29</v>
      </c>
      <c r="C16" s="80">
        <v>45055</v>
      </c>
      <c r="D16" s="42">
        <v>3</v>
      </c>
      <c r="E16" s="110"/>
      <c r="F16" s="109"/>
      <c r="G16" s="47">
        <v>1588245.57</v>
      </c>
      <c r="H16" s="37">
        <v>0</v>
      </c>
      <c r="I16" s="43">
        <v>1588246</v>
      </c>
      <c r="J16" s="44">
        <v>285884</v>
      </c>
      <c r="K16" s="45">
        <v>1874130</v>
      </c>
      <c r="L16" s="26">
        <v>31765</v>
      </c>
      <c r="M16" s="46">
        <v>158825</v>
      </c>
      <c r="N16" s="46">
        <v>285884</v>
      </c>
      <c r="O16" s="46">
        <v>0</v>
      </c>
      <c r="P16" s="46">
        <v>1397656</v>
      </c>
      <c r="Q16" s="11"/>
      <c r="R16" s="39" t="s">
        <v>40</v>
      </c>
      <c r="S16" s="44">
        <v>3009962</v>
      </c>
      <c r="T16" s="44">
        <v>0</v>
      </c>
      <c r="U16" s="44"/>
      <c r="V16" s="44"/>
      <c r="W16" s="45"/>
      <c r="X16" s="47">
        <f t="shared" ref="X16:X17" si="7">S16-T16</f>
        <v>3009962</v>
      </c>
      <c r="Y16" s="48" t="s">
        <v>32</v>
      </c>
    </row>
    <row r="17" spans="1:25" ht="39.6" customHeight="1" x14ac:dyDescent="0.3">
      <c r="B17" s="41" t="s">
        <v>29</v>
      </c>
      <c r="C17" s="80">
        <v>45055</v>
      </c>
      <c r="D17" s="42">
        <v>4</v>
      </c>
      <c r="E17" s="39"/>
      <c r="F17" s="44"/>
      <c r="G17" s="47">
        <v>1505904.2100000002</v>
      </c>
      <c r="H17" s="37">
        <v>0</v>
      </c>
      <c r="I17" s="43">
        <v>1505904</v>
      </c>
      <c r="J17" s="44">
        <v>271063</v>
      </c>
      <c r="K17" s="45">
        <v>1776967</v>
      </c>
      <c r="L17" s="26">
        <v>30118</v>
      </c>
      <c r="M17" s="46">
        <v>150590</v>
      </c>
      <c r="N17" s="46">
        <v>271063</v>
      </c>
      <c r="O17" s="46">
        <v>0</v>
      </c>
      <c r="P17" s="46">
        <v>1325196</v>
      </c>
      <c r="Q17" s="11"/>
      <c r="R17" s="39" t="s">
        <v>41</v>
      </c>
      <c r="S17" s="44">
        <v>356805</v>
      </c>
      <c r="T17" s="44">
        <v>0</v>
      </c>
      <c r="U17" s="44">
        <v>0</v>
      </c>
      <c r="V17" s="44">
        <v>0</v>
      </c>
      <c r="W17" s="45"/>
      <c r="X17" s="47">
        <f t="shared" si="7"/>
        <v>356805</v>
      </c>
      <c r="Y17" s="48" t="s">
        <v>39</v>
      </c>
    </row>
    <row r="18" spans="1:25" ht="39.6" customHeight="1" thickBot="1" x14ac:dyDescent="0.35">
      <c r="B18" s="41" t="s">
        <v>29</v>
      </c>
      <c r="C18" s="80">
        <v>45061</v>
      </c>
      <c r="D18" s="42">
        <v>8</v>
      </c>
      <c r="E18" s="111"/>
      <c r="F18" s="112"/>
      <c r="G18" s="55">
        <v>1248106.32</v>
      </c>
      <c r="H18" s="37">
        <v>0</v>
      </c>
      <c r="I18" s="43">
        <v>1248106</v>
      </c>
      <c r="J18" s="44">
        <v>224659</v>
      </c>
      <c r="K18" s="45">
        <v>1472765</v>
      </c>
      <c r="L18" s="26">
        <v>24962</v>
      </c>
      <c r="M18" s="46">
        <v>124811</v>
      </c>
      <c r="N18" s="46">
        <v>224659</v>
      </c>
      <c r="O18" s="46">
        <v>0</v>
      </c>
      <c r="P18" s="46">
        <v>1098333</v>
      </c>
      <c r="Q18" s="11"/>
      <c r="R18" s="39"/>
      <c r="S18" s="44"/>
      <c r="T18" s="44">
        <v>0</v>
      </c>
      <c r="U18" s="44">
        <v>0</v>
      </c>
      <c r="V18" s="44">
        <v>0</v>
      </c>
      <c r="W18" s="45"/>
      <c r="X18" s="47">
        <v>0</v>
      </c>
      <c r="Y18" s="48"/>
    </row>
    <row r="19" spans="1:25" x14ac:dyDescent="0.3">
      <c r="B19" s="99" t="s">
        <v>33</v>
      </c>
      <c r="C19" s="100">
        <v>45192</v>
      </c>
      <c r="D19" s="42" t="s">
        <v>34</v>
      </c>
      <c r="E19" s="103"/>
      <c r="F19" s="23"/>
      <c r="G19" s="23">
        <v>1116811</v>
      </c>
      <c r="H19" s="44"/>
      <c r="I19" s="59">
        <f>ROUND(G19-H19,0)</f>
        <v>1116811</v>
      </c>
      <c r="J19" s="44"/>
      <c r="K19" s="29">
        <f>I19+J19</f>
        <v>1116811</v>
      </c>
      <c r="L19" s="26"/>
      <c r="M19" s="46"/>
      <c r="N19" s="46"/>
      <c r="O19" s="46"/>
      <c r="P19" s="32">
        <f>ROUND(K19-SUM(L19:O19),0)</f>
        <v>1116811</v>
      </c>
      <c r="Q19" s="11"/>
      <c r="R19" s="39"/>
      <c r="S19" s="44"/>
      <c r="T19" s="44"/>
      <c r="U19" s="44"/>
      <c r="V19" s="44"/>
      <c r="W19" s="45"/>
      <c r="X19" s="47"/>
      <c r="Y19" s="48"/>
    </row>
    <row r="20" spans="1:25" x14ac:dyDescent="0.3">
      <c r="B20" s="41"/>
      <c r="C20" s="80"/>
      <c r="D20" s="42"/>
      <c r="E20" s="42"/>
      <c r="F20" s="43"/>
      <c r="G20" s="43"/>
      <c r="H20" s="44"/>
      <c r="I20" s="43"/>
      <c r="J20" s="44"/>
      <c r="K20" s="45"/>
      <c r="L20" s="26"/>
      <c r="M20" s="46"/>
      <c r="N20" s="46"/>
      <c r="O20" s="46"/>
      <c r="P20" s="46"/>
      <c r="Q20" s="11"/>
      <c r="R20" s="39"/>
      <c r="S20" s="44"/>
      <c r="T20" s="44"/>
      <c r="U20" s="44"/>
      <c r="V20" s="44"/>
      <c r="W20" s="45"/>
      <c r="X20" s="47"/>
      <c r="Y20" s="48"/>
    </row>
    <row r="21" spans="1:25" x14ac:dyDescent="0.3">
      <c r="B21" s="41"/>
      <c r="C21" s="80"/>
      <c r="D21" s="42"/>
      <c r="E21" s="42"/>
      <c r="F21" s="43"/>
      <c r="G21" s="43"/>
      <c r="H21" s="44"/>
      <c r="I21" s="43"/>
      <c r="J21" s="44"/>
      <c r="K21" s="45"/>
      <c r="L21" s="26"/>
      <c r="M21" s="46"/>
      <c r="N21" s="46"/>
      <c r="O21" s="46"/>
      <c r="P21" s="46"/>
      <c r="Q21" s="11"/>
      <c r="R21" s="39"/>
      <c r="S21" s="44"/>
      <c r="T21" s="44"/>
      <c r="U21" s="44"/>
      <c r="V21" s="44"/>
      <c r="W21" s="45"/>
      <c r="X21" s="47"/>
      <c r="Y21" s="48"/>
    </row>
    <row r="22" spans="1:25" ht="15" thickBot="1" x14ac:dyDescent="0.35">
      <c r="B22" s="6"/>
      <c r="C22" s="82"/>
      <c r="D22" s="9"/>
      <c r="E22" s="42"/>
      <c r="F22" s="43"/>
      <c r="G22" s="49"/>
      <c r="H22" s="49"/>
      <c r="I22" s="49"/>
      <c r="J22" s="50"/>
      <c r="K22" s="51"/>
      <c r="L22" s="52"/>
      <c r="M22" s="53"/>
      <c r="N22" s="53"/>
      <c r="O22" s="53"/>
      <c r="P22" s="53"/>
      <c r="Q22" s="11"/>
      <c r="R22" s="54"/>
      <c r="S22" s="50"/>
      <c r="T22" s="50"/>
      <c r="U22" s="50"/>
      <c r="V22" s="50"/>
      <c r="W22" s="51"/>
      <c r="X22" s="55"/>
      <c r="Y22" s="53"/>
    </row>
    <row r="23" spans="1:25" x14ac:dyDescent="0.3">
      <c r="A23" s="28"/>
      <c r="B23" s="28"/>
      <c r="C23" s="83"/>
      <c r="D23" s="28"/>
      <c r="E23" s="42"/>
      <c r="F23" s="23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9"/>
      <c r="X23" s="29"/>
      <c r="Y23" s="28"/>
    </row>
    <row r="24" spans="1:25" x14ac:dyDescent="0.3">
      <c r="A24" s="28"/>
      <c r="B24" s="28"/>
      <c r="C24" s="83"/>
      <c r="D24" s="28"/>
      <c r="E24" s="42"/>
      <c r="F24" s="23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9"/>
      <c r="X24" s="29"/>
      <c r="Y24" s="44"/>
    </row>
    <row r="25" spans="1:25" x14ac:dyDescent="0.3">
      <c r="A25" s="28"/>
      <c r="B25" s="28"/>
      <c r="C25" s="83"/>
      <c r="D25" s="28"/>
      <c r="E25" s="42"/>
      <c r="F25" s="23"/>
      <c r="G25" s="62">
        <f>SUM(G7:G22)</f>
        <v>21624669.82</v>
      </c>
      <c r="H25" s="62">
        <f t="shared" ref="H25:N25" si="8">SUM(H7:H22)</f>
        <v>0</v>
      </c>
      <c r="I25" s="62">
        <f t="shared" si="8"/>
        <v>21624670</v>
      </c>
      <c r="J25" s="62">
        <f t="shared" si="8"/>
        <v>3373218</v>
      </c>
      <c r="K25" s="62">
        <f t="shared" si="8"/>
        <v>24997888</v>
      </c>
      <c r="L25" s="62">
        <f t="shared" si="8"/>
        <v>374802</v>
      </c>
      <c r="M25" s="62">
        <f t="shared" si="8"/>
        <v>1874011</v>
      </c>
      <c r="N25" s="62">
        <f t="shared" si="8"/>
        <v>3373218</v>
      </c>
      <c r="O25" s="62" t="s">
        <v>17</v>
      </c>
      <c r="P25" s="62">
        <f>SUM(P7:P22)</f>
        <v>19375857</v>
      </c>
      <c r="Q25" s="62"/>
      <c r="R25" s="62"/>
      <c r="S25" s="62"/>
      <c r="T25" s="62"/>
      <c r="U25" s="62" t="s">
        <v>19</v>
      </c>
      <c r="V25" s="62"/>
      <c r="W25" s="57"/>
      <c r="X25" s="57">
        <f>SUM(X5:X22)</f>
        <v>14459137</v>
      </c>
      <c r="Y25" s="44"/>
    </row>
    <row r="26" spans="1:25" ht="15" thickBot="1" x14ac:dyDescent="0.35">
      <c r="A26" s="28"/>
      <c r="B26" s="28"/>
      <c r="C26" s="83"/>
      <c r="D26" s="28"/>
      <c r="E26" s="9"/>
      <c r="F26" s="102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9"/>
      <c r="X26" s="29"/>
      <c r="Y26" s="44"/>
    </row>
    <row r="27" spans="1:25" x14ac:dyDescent="0.3">
      <c r="A27" s="28"/>
      <c r="B27" s="28"/>
      <c r="C27" s="83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62" t="s">
        <v>18</v>
      </c>
      <c r="V27" s="28"/>
      <c r="W27" s="29"/>
      <c r="X27" s="57">
        <f>P25-X25</f>
        <v>4916720</v>
      </c>
      <c r="Y27" s="44"/>
    </row>
    <row r="28" spans="1:25" x14ac:dyDescent="0.3">
      <c r="A28" s="28"/>
      <c r="B28" s="28"/>
      <c r="C28" s="83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9"/>
      <c r="X28" s="29"/>
      <c r="Y28" s="44"/>
    </row>
    <row r="42" spans="4:7" ht="21" x14ac:dyDescent="0.3">
      <c r="D42" s="113"/>
      <c r="E42" s="113"/>
      <c r="F42" s="113"/>
      <c r="G42" s="113"/>
    </row>
    <row r="43" spans="4:7" ht="21" x14ac:dyDescent="0.3">
      <c r="D43" s="113"/>
      <c r="E43" s="113" t="s">
        <v>44</v>
      </c>
      <c r="F43" s="113">
        <v>2919330</v>
      </c>
      <c r="G43" s="113"/>
    </row>
    <row r="44" spans="4:7" ht="21" x14ac:dyDescent="0.3">
      <c r="D44" s="113"/>
      <c r="E44" s="113" t="s">
        <v>45</v>
      </c>
      <c r="F44" s="113">
        <v>2291500</v>
      </c>
      <c r="G44" s="113"/>
    </row>
    <row r="45" spans="4:7" ht="21" x14ac:dyDescent="0.3">
      <c r="D45" s="113"/>
      <c r="E45" s="113"/>
      <c r="F45" s="113"/>
      <c r="G45" s="113"/>
    </row>
    <row r="46" spans="4:7" ht="21" x14ac:dyDescent="0.3">
      <c r="D46" s="113"/>
      <c r="E46" s="113"/>
      <c r="F46" s="113"/>
      <c r="G46" s="11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7"/>
  <sheetViews>
    <sheetView view="pageBreakPreview" zoomScale="60" zoomScaleNormal="85" workbookViewId="0">
      <pane ySplit="3" topLeftCell="A10" activePane="bottomLeft" state="frozen"/>
      <selection pane="bottomLeft" activeCell="L16" sqref="B16:L27"/>
    </sheetView>
  </sheetViews>
  <sheetFormatPr defaultColWidth="9" defaultRowHeight="30" customHeight="1" x14ac:dyDescent="0.3"/>
  <cols>
    <col min="1" max="1" width="13.44140625" style="74" bestFit="1" customWidth="1"/>
    <col min="2" max="2" width="11.5546875" style="15" bestFit="1" customWidth="1"/>
    <col min="3" max="3" width="11.5546875" style="15" customWidth="1"/>
    <col min="4" max="4" width="16.33203125" style="15" customWidth="1"/>
    <col min="5" max="5" width="16" style="15" customWidth="1"/>
    <col min="6" max="6" width="16.5546875" style="15" customWidth="1"/>
    <col min="7" max="7" width="18.6640625" style="17" customWidth="1"/>
    <col min="8" max="8" width="16.44140625" style="17" bestFit="1" customWidth="1"/>
    <col min="9" max="9" width="14.109375" style="15" bestFit="1" customWidth="1"/>
    <col min="10" max="10" width="15" style="15" bestFit="1" customWidth="1"/>
    <col min="11" max="11" width="14.88671875" style="15" customWidth="1"/>
    <col min="12" max="12" width="16.5546875" style="15" customWidth="1"/>
    <col min="13" max="13" width="16.88671875" style="15" customWidth="1"/>
    <col min="14" max="14" width="7.33203125" style="15" customWidth="1"/>
    <col min="15" max="15" width="17.88671875" style="15" customWidth="1"/>
    <col min="16" max="16" width="90.5546875" style="15" customWidth="1"/>
    <col min="17" max="16384" width="9" style="15"/>
  </cols>
  <sheetData>
    <row r="1" spans="1:16" ht="30" customHeight="1" x14ac:dyDescent="0.3">
      <c r="D1" s="16"/>
      <c r="E1" s="16"/>
      <c r="F1" s="19" t="s">
        <v>0</v>
      </c>
    </row>
    <row r="2" spans="1:16" ht="30" customHeight="1" thickBot="1" x14ac:dyDescent="0.35">
      <c r="A2" s="75"/>
      <c r="B2" s="19" t="s">
        <v>23</v>
      </c>
      <c r="C2" s="19"/>
      <c r="F2" s="19" t="s">
        <v>46</v>
      </c>
      <c r="I2" s="19" t="s">
        <v>53</v>
      </c>
      <c r="J2" s="21"/>
      <c r="K2" s="21"/>
      <c r="L2" s="21"/>
      <c r="M2" s="21"/>
      <c r="N2" s="21"/>
    </row>
    <row r="3" spans="1:16" ht="30" customHeight="1" x14ac:dyDescent="0.3">
      <c r="A3" s="141" t="s">
        <v>2</v>
      </c>
      <c r="B3" s="142" t="s">
        <v>3</v>
      </c>
      <c r="C3" s="143" t="s">
        <v>49</v>
      </c>
      <c r="D3" s="142" t="s">
        <v>4</v>
      </c>
      <c r="E3" s="143" t="s">
        <v>47</v>
      </c>
      <c r="F3" s="143" t="s">
        <v>48</v>
      </c>
      <c r="G3" s="144" t="s">
        <v>5</v>
      </c>
      <c r="H3" s="145" t="s">
        <v>6</v>
      </c>
      <c r="I3" s="143" t="s">
        <v>21</v>
      </c>
      <c r="J3" s="143" t="s">
        <v>12</v>
      </c>
      <c r="K3" s="143" t="s">
        <v>7</v>
      </c>
      <c r="L3" s="143" t="s">
        <v>20</v>
      </c>
      <c r="M3" s="146" t="s">
        <v>8</v>
      </c>
      <c r="N3" s="147"/>
      <c r="O3" s="148" t="s">
        <v>10</v>
      </c>
      <c r="P3" s="146" t="s">
        <v>11</v>
      </c>
    </row>
    <row r="4" spans="1:16" ht="30" customHeight="1" thickBot="1" x14ac:dyDescent="0.35">
      <c r="A4" s="123"/>
      <c r="B4" s="50"/>
      <c r="C4" s="50"/>
      <c r="D4" s="50"/>
      <c r="E4" s="50"/>
      <c r="F4" s="50"/>
      <c r="G4" s="149">
        <v>0.18</v>
      </c>
      <c r="H4" s="50"/>
      <c r="I4" s="149">
        <v>0.02</v>
      </c>
      <c r="J4" s="149">
        <v>0.1</v>
      </c>
      <c r="K4" s="149">
        <v>0.18</v>
      </c>
      <c r="L4" s="149"/>
      <c r="M4" s="55"/>
      <c r="N4" s="150"/>
      <c r="O4" s="54"/>
      <c r="P4" s="55"/>
    </row>
    <row r="5" spans="1:16" ht="30" customHeight="1" x14ac:dyDescent="0.3">
      <c r="A5" s="137">
        <v>45061</v>
      </c>
      <c r="B5" s="138">
        <v>7</v>
      </c>
      <c r="C5" s="138">
        <v>2254122</v>
      </c>
      <c r="D5" s="28">
        <f t="shared" ref="D5:D8" si="0">C5*81%</f>
        <v>1825838.82</v>
      </c>
      <c r="E5" s="28">
        <v>0</v>
      </c>
      <c r="F5" s="28">
        <f>ROUND(D5-E5,0)</f>
        <v>1825839</v>
      </c>
      <c r="G5" s="28">
        <f>ROUND(F5*G4,0)</f>
        <v>328651</v>
      </c>
      <c r="H5" s="28">
        <f>F5+G5</f>
        <v>2154490</v>
      </c>
      <c r="I5" s="28">
        <f>ROUND(F5*$I$4,)</f>
        <v>36517</v>
      </c>
      <c r="J5" s="28">
        <f>ROUND(F5*$J$4,)</f>
        <v>182584</v>
      </c>
      <c r="K5" s="28">
        <f>G5</f>
        <v>328651</v>
      </c>
      <c r="L5" s="28">
        <v>0</v>
      </c>
      <c r="M5" s="152">
        <f>ROUND(H5-SUM(I5:L5),0)</f>
        <v>1606738</v>
      </c>
      <c r="N5" s="139"/>
      <c r="O5" s="154">
        <v>2450000</v>
      </c>
      <c r="P5" s="140" t="s">
        <v>26</v>
      </c>
    </row>
    <row r="6" spans="1:16" ht="30" customHeight="1" x14ac:dyDescent="0.3">
      <c r="A6" s="119">
        <v>45054</v>
      </c>
      <c r="B6" s="109">
        <v>2</v>
      </c>
      <c r="C6" s="109">
        <v>588125</v>
      </c>
      <c r="D6" s="44">
        <f t="shared" si="0"/>
        <v>476381.25000000006</v>
      </c>
      <c r="E6" s="44">
        <v>0</v>
      </c>
      <c r="F6" s="44">
        <f t="shared" ref="F6:F8" si="1">ROUND(D6-E6,0)</f>
        <v>476381</v>
      </c>
      <c r="G6" s="44">
        <f>ROUND(F6*G4,0)</f>
        <v>85749</v>
      </c>
      <c r="H6" s="44">
        <f t="shared" ref="H6:H9" si="2">F6+G6</f>
        <v>562130</v>
      </c>
      <c r="I6" s="44">
        <f t="shared" ref="I6:I9" si="3">ROUND(F6*$I$4,)</f>
        <v>9528</v>
      </c>
      <c r="J6" s="44">
        <f t="shared" ref="J6:J9" si="4">ROUND(F6*$J$4,)</f>
        <v>47638</v>
      </c>
      <c r="K6" s="44">
        <f t="shared" ref="K6:K9" si="5">G6</f>
        <v>85749</v>
      </c>
      <c r="L6" s="44">
        <v>0</v>
      </c>
      <c r="M6" s="153">
        <f t="shared" ref="M6:M8" si="6">ROUND(H6-SUM(I6:L6),0)</f>
        <v>419215</v>
      </c>
      <c r="N6" s="11"/>
      <c r="O6" s="155">
        <v>6192370</v>
      </c>
      <c r="P6" s="122" t="s">
        <v>28</v>
      </c>
    </row>
    <row r="7" spans="1:16" ht="30" customHeight="1" x14ac:dyDescent="0.3">
      <c r="A7" s="119">
        <v>45056</v>
      </c>
      <c r="B7" s="109">
        <v>5</v>
      </c>
      <c r="C7" s="109">
        <v>7378761</v>
      </c>
      <c r="D7" s="44">
        <f t="shared" si="0"/>
        <v>5976796.4100000001</v>
      </c>
      <c r="E7" s="44">
        <v>0</v>
      </c>
      <c r="F7" s="44">
        <f t="shared" si="1"/>
        <v>5976796</v>
      </c>
      <c r="G7" s="44">
        <f>ROUND(F7*G4,0)</f>
        <v>1075823</v>
      </c>
      <c r="H7" s="44">
        <f t="shared" si="2"/>
        <v>7052619</v>
      </c>
      <c r="I7" s="44">
        <f t="shared" si="3"/>
        <v>119536</v>
      </c>
      <c r="J7" s="44">
        <f t="shared" si="4"/>
        <v>597680</v>
      </c>
      <c r="K7" s="44">
        <f t="shared" si="5"/>
        <v>1075823</v>
      </c>
      <c r="L7" s="44">
        <v>0</v>
      </c>
      <c r="M7" s="153">
        <f t="shared" si="6"/>
        <v>5259580</v>
      </c>
      <c r="N7" s="11"/>
      <c r="O7" s="39">
        <v>0</v>
      </c>
      <c r="P7" s="122"/>
    </row>
    <row r="8" spans="1:16" ht="30" customHeight="1" x14ac:dyDescent="0.3">
      <c r="A8" s="119">
        <v>45054</v>
      </c>
      <c r="B8" s="109">
        <v>1</v>
      </c>
      <c r="C8" s="109">
        <v>1903533</v>
      </c>
      <c r="D8" s="44">
        <f t="shared" si="0"/>
        <v>1541861.7300000002</v>
      </c>
      <c r="E8" s="44">
        <v>0</v>
      </c>
      <c r="F8" s="44">
        <f t="shared" si="1"/>
        <v>1541862</v>
      </c>
      <c r="G8" s="44">
        <f>ROUND(F8*G4,0)</f>
        <v>277535</v>
      </c>
      <c r="H8" s="44">
        <f t="shared" si="2"/>
        <v>1819397</v>
      </c>
      <c r="I8" s="44">
        <f t="shared" si="3"/>
        <v>30837</v>
      </c>
      <c r="J8" s="44">
        <f t="shared" si="4"/>
        <v>154186</v>
      </c>
      <c r="K8" s="44">
        <f t="shared" si="5"/>
        <v>277535</v>
      </c>
      <c r="L8" s="44">
        <v>0</v>
      </c>
      <c r="M8" s="153">
        <f t="shared" si="6"/>
        <v>1356839</v>
      </c>
      <c r="N8" s="11"/>
      <c r="O8" s="39">
        <v>0</v>
      </c>
      <c r="P8" s="122"/>
    </row>
    <row r="9" spans="1:16" ht="30" customHeight="1" x14ac:dyDescent="0.3">
      <c r="A9" s="120">
        <v>45108</v>
      </c>
      <c r="B9" s="109">
        <v>9</v>
      </c>
      <c r="C9" s="109">
        <v>735250</v>
      </c>
      <c r="D9" s="44">
        <f>C9*81%</f>
        <v>595552.5</v>
      </c>
      <c r="E9" s="44">
        <f>2291500*81%+263052</f>
        <v>2119167</v>
      </c>
      <c r="F9" s="44">
        <f>D9+E9</f>
        <v>2714719.5</v>
      </c>
      <c r="G9" s="44">
        <f>ROUND(F9*18%,0)</f>
        <v>488650</v>
      </c>
      <c r="H9" s="44">
        <f t="shared" si="2"/>
        <v>3203369.5</v>
      </c>
      <c r="I9" s="44">
        <f t="shared" si="3"/>
        <v>54294</v>
      </c>
      <c r="J9" s="44">
        <f t="shared" si="4"/>
        <v>271472</v>
      </c>
      <c r="K9" s="44">
        <f t="shared" si="5"/>
        <v>488650</v>
      </c>
      <c r="L9" s="44">
        <v>0</v>
      </c>
      <c r="M9" s="47">
        <f t="shared" ref="M9" si="7">ROUND(H9-SUM(I9:L9),0)</f>
        <v>2388954</v>
      </c>
      <c r="N9" s="11"/>
      <c r="O9" s="39"/>
      <c r="P9" s="122"/>
    </row>
    <row r="10" spans="1:16" ht="30" customHeight="1" x14ac:dyDescent="0.3">
      <c r="A10" s="120">
        <v>45192</v>
      </c>
      <c r="B10" s="109" t="s">
        <v>37</v>
      </c>
      <c r="C10" s="44"/>
      <c r="D10" s="44">
        <v>1767758</v>
      </c>
      <c r="E10" s="117"/>
      <c r="F10" s="44"/>
      <c r="G10" s="44"/>
      <c r="H10" s="44"/>
      <c r="I10" s="44"/>
      <c r="J10" s="44"/>
      <c r="K10" s="44"/>
      <c r="L10" s="44"/>
      <c r="M10" s="47">
        <f>D10</f>
        <v>1767758</v>
      </c>
      <c r="N10" s="11"/>
      <c r="O10" s="39"/>
      <c r="P10" s="122"/>
    </row>
    <row r="11" spans="1:16" ht="30" customHeight="1" x14ac:dyDescent="0.3">
      <c r="A11" s="118"/>
      <c r="B11" s="44"/>
      <c r="C11" s="121"/>
      <c r="D11" s="44"/>
      <c r="E11" s="44"/>
      <c r="F11" s="44"/>
      <c r="G11" s="44"/>
      <c r="H11" s="44"/>
      <c r="I11" s="44"/>
      <c r="J11" s="44"/>
      <c r="K11" s="44"/>
      <c r="L11" s="44"/>
      <c r="M11" s="47"/>
      <c r="N11" s="11"/>
      <c r="O11" s="39"/>
      <c r="P11" s="122"/>
    </row>
    <row r="12" spans="1:16" ht="30" customHeight="1" thickBot="1" x14ac:dyDescent="0.35">
      <c r="A12" s="127"/>
      <c r="B12" s="126"/>
      <c r="C12" s="126"/>
      <c r="D12" s="128"/>
      <c r="E12" s="128"/>
      <c r="F12" s="128"/>
      <c r="G12" s="116"/>
      <c r="H12" s="116"/>
      <c r="I12" s="116"/>
      <c r="J12" s="116"/>
      <c r="K12" s="116"/>
      <c r="L12" s="116"/>
      <c r="M12" s="129"/>
      <c r="N12" s="130"/>
      <c r="O12" s="131"/>
      <c r="P12" s="129"/>
    </row>
    <row r="13" spans="1:16" ht="30" customHeight="1" x14ac:dyDescent="0.3">
      <c r="A13" s="132"/>
      <c r="B13" s="105"/>
      <c r="C13" s="105"/>
      <c r="D13" s="133"/>
      <c r="E13" s="133"/>
      <c r="F13" s="133"/>
      <c r="G13" s="133"/>
      <c r="H13" s="133"/>
      <c r="I13" s="133"/>
      <c r="J13" s="133"/>
      <c r="K13" s="133"/>
      <c r="L13" s="133" t="s">
        <v>50</v>
      </c>
      <c r="M13" s="134">
        <f>SUM(M5:M12)</f>
        <v>12799084</v>
      </c>
      <c r="N13" s="135"/>
      <c r="O13" s="136">
        <f>SUM(O5:O12)</f>
        <v>8642370</v>
      </c>
      <c r="P13" s="134" t="s">
        <v>51</v>
      </c>
    </row>
    <row r="14" spans="1:16" ht="30" customHeight="1" thickBot="1" x14ac:dyDescent="0.35">
      <c r="A14" s="123"/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5"/>
      <c r="N14" s="124"/>
      <c r="O14" s="125">
        <f>M13-O13</f>
        <v>4156714</v>
      </c>
      <c r="P14" s="151" t="s">
        <v>52</v>
      </c>
    </row>
    <row r="15" spans="1:16" ht="30" customHeight="1" x14ac:dyDescent="0.3">
      <c r="A15" s="115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</row>
    <row r="16" spans="1:16" ht="30" customHeight="1" thickBot="1" x14ac:dyDescent="0.35"/>
    <row r="17" spans="3:11" ht="30" customHeight="1" thickBot="1" x14ac:dyDescent="0.35">
      <c r="C17" s="173">
        <v>1</v>
      </c>
      <c r="D17" s="192" t="s">
        <v>54</v>
      </c>
      <c r="E17" s="193"/>
      <c r="F17" s="194"/>
      <c r="G17" s="172">
        <v>1767758</v>
      </c>
      <c r="H17" s="163"/>
      <c r="I17" s="164"/>
      <c r="J17" s="164"/>
      <c r="K17" s="165"/>
    </row>
    <row r="18" spans="3:11" ht="30" customHeight="1" x14ac:dyDescent="0.3">
      <c r="C18" s="185">
        <v>2</v>
      </c>
      <c r="D18" s="195" t="s">
        <v>66</v>
      </c>
      <c r="E18" s="198" t="s">
        <v>55</v>
      </c>
      <c r="F18" s="199"/>
      <c r="G18" s="168">
        <f>D9</f>
        <v>595552.5</v>
      </c>
      <c r="H18" s="169"/>
      <c r="I18" s="169"/>
      <c r="J18" s="170"/>
      <c r="K18" s="171"/>
    </row>
    <row r="19" spans="3:11" ht="30" customHeight="1" x14ac:dyDescent="0.3">
      <c r="C19" s="186"/>
      <c r="D19" s="195"/>
      <c r="E19" s="188" t="s">
        <v>56</v>
      </c>
      <c r="F19" s="189"/>
      <c r="G19" s="157">
        <f>E9</f>
        <v>2119167</v>
      </c>
      <c r="H19" s="158" t="s">
        <v>57</v>
      </c>
      <c r="I19" s="158"/>
      <c r="J19" s="156"/>
      <c r="K19" s="159"/>
    </row>
    <row r="20" spans="3:11" ht="30" customHeight="1" x14ac:dyDescent="0.3">
      <c r="C20" s="186"/>
      <c r="D20" s="195"/>
      <c r="E20" s="188" t="s">
        <v>58</v>
      </c>
      <c r="F20" s="189"/>
      <c r="G20" s="158">
        <f>G18+G19</f>
        <v>2714719.5</v>
      </c>
      <c r="H20" s="158"/>
      <c r="I20" s="156"/>
      <c r="J20" s="156"/>
      <c r="K20" s="159"/>
    </row>
    <row r="21" spans="3:11" ht="30" customHeight="1" x14ac:dyDescent="0.3">
      <c r="C21" s="186"/>
      <c r="D21" s="195"/>
      <c r="E21" s="188" t="s">
        <v>61</v>
      </c>
      <c r="F21" s="189"/>
      <c r="G21" s="158">
        <f>G9</f>
        <v>488650</v>
      </c>
      <c r="H21" s="158"/>
      <c r="I21" s="156"/>
      <c r="J21" s="156"/>
      <c r="K21" s="159"/>
    </row>
    <row r="22" spans="3:11" ht="30" customHeight="1" x14ac:dyDescent="0.3">
      <c r="C22" s="186"/>
      <c r="D22" s="195"/>
      <c r="E22" s="188" t="s">
        <v>62</v>
      </c>
      <c r="F22" s="189"/>
      <c r="G22" s="158">
        <f>G20+G21</f>
        <v>3203369.5</v>
      </c>
      <c r="H22" s="158"/>
      <c r="I22" s="156"/>
      <c r="J22" s="156"/>
      <c r="K22" s="159"/>
    </row>
    <row r="23" spans="3:11" ht="30" customHeight="1" x14ac:dyDescent="0.3">
      <c r="C23" s="186"/>
      <c r="D23" s="195"/>
      <c r="E23" s="188" t="s">
        <v>60</v>
      </c>
      <c r="F23" s="189"/>
      <c r="G23" s="158">
        <f>I9</f>
        <v>54294</v>
      </c>
      <c r="H23" s="158"/>
      <c r="I23" s="156"/>
      <c r="J23" s="156"/>
      <c r="K23" s="159"/>
    </row>
    <row r="24" spans="3:11" ht="30" customHeight="1" x14ac:dyDescent="0.3">
      <c r="C24" s="186"/>
      <c r="D24" s="195"/>
      <c r="E24" s="188" t="s">
        <v>59</v>
      </c>
      <c r="F24" s="189"/>
      <c r="G24" s="158">
        <f>J9</f>
        <v>271472</v>
      </c>
      <c r="H24" s="158"/>
      <c r="I24" s="156"/>
      <c r="J24" s="156"/>
      <c r="K24" s="159"/>
    </row>
    <row r="25" spans="3:11" ht="30" customHeight="1" x14ac:dyDescent="0.3">
      <c r="C25" s="186"/>
      <c r="D25" s="195"/>
      <c r="E25" s="188" t="s">
        <v>63</v>
      </c>
      <c r="F25" s="189"/>
      <c r="G25" s="158">
        <f>G21</f>
        <v>488650</v>
      </c>
      <c r="H25" s="158"/>
      <c r="I25" s="156"/>
      <c r="J25" s="156"/>
      <c r="K25" s="159"/>
    </row>
    <row r="26" spans="3:11" ht="30" customHeight="1" thickBot="1" x14ac:dyDescent="0.35">
      <c r="C26" s="187"/>
      <c r="D26" s="196"/>
      <c r="E26" s="190" t="s">
        <v>64</v>
      </c>
      <c r="F26" s="191"/>
      <c r="G26" s="167">
        <f>G22-G23-G24-G25</f>
        <v>2388953.5</v>
      </c>
      <c r="H26" s="160"/>
      <c r="I26" s="161"/>
      <c r="J26" s="161"/>
      <c r="K26" s="162"/>
    </row>
    <row r="27" spans="3:11" ht="30" customHeight="1" thickBot="1" x14ac:dyDescent="0.35">
      <c r="C27" s="114"/>
      <c r="D27" s="192" t="s">
        <v>65</v>
      </c>
      <c r="E27" s="193"/>
      <c r="F27" s="197"/>
      <c r="G27" s="166">
        <f>G17+G26</f>
        <v>4156711.5</v>
      </c>
      <c r="H27" s="163"/>
      <c r="I27" s="164"/>
      <c r="J27" s="164"/>
      <c r="K27" s="165"/>
    </row>
  </sheetData>
  <mergeCells count="13">
    <mergeCell ref="D27:F27"/>
    <mergeCell ref="E18:F18"/>
    <mergeCell ref="E19:F19"/>
    <mergeCell ref="E20:F20"/>
    <mergeCell ref="E21:F21"/>
    <mergeCell ref="E22:F22"/>
    <mergeCell ref="E23:F23"/>
    <mergeCell ref="C18:C26"/>
    <mergeCell ref="E24:F24"/>
    <mergeCell ref="E25:F25"/>
    <mergeCell ref="E26:F26"/>
    <mergeCell ref="D17:F17"/>
    <mergeCell ref="D18:D26"/>
  </mergeCells>
  <pageMargins left="0.70866141732283472" right="0.70866141732283472" top="0.74803149606299213" bottom="0.74803149606299213" header="0.31496062992125984" footer="0.31496062992125984"/>
  <pageSetup scale="35" orientation="landscape" r:id="rId1"/>
  <ignoredErrors>
    <ignoredError sqref="F9 G2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Sheet1 (2)</vt:lpstr>
      <vt:lpstr>Alipur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2023-11-09T07:41:55Z</cp:lastPrinted>
  <dcterms:created xsi:type="dcterms:W3CDTF">2022-06-10T14:11:52Z</dcterms:created>
  <dcterms:modified xsi:type="dcterms:W3CDTF">2025-05-30T12:18:41Z</dcterms:modified>
</cp:coreProperties>
</file>