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DMIN\Desktop\Update_By _Aishhwarya\Shamli\"/>
    </mc:Choice>
  </mc:AlternateContent>
  <xr:revisionPtr revIDLastSave="0" documentId="13_ncr:1_{8206821C-EDA3-484D-A9EE-0744A1E3F6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0" i="1" l="1"/>
  <c r="F28" i="1"/>
  <c r="F17" i="1"/>
  <c r="F16" i="1"/>
  <c r="G71" i="1" l="1"/>
  <c r="L71" i="1" s="1"/>
  <c r="G65" i="1"/>
  <c r="K65" i="1" s="1"/>
  <c r="G63" i="1"/>
  <c r="L63" i="1" s="1"/>
  <c r="Q62" i="1"/>
  <c r="M71" i="1" l="1"/>
  <c r="J71" i="1"/>
  <c r="K71" i="1"/>
  <c r="H71" i="1"/>
  <c r="O71" i="1" s="1"/>
  <c r="H65" i="1"/>
  <c r="O65" i="1" s="1"/>
  <c r="E66" i="1" s="1"/>
  <c r="P66" i="1" s="1"/>
  <c r="J65" i="1"/>
  <c r="M63" i="1"/>
  <c r="J63" i="1"/>
  <c r="K63" i="1"/>
  <c r="H63" i="1"/>
  <c r="O63" i="1" s="1"/>
  <c r="E64" i="1" s="1"/>
  <c r="P64" i="1" s="1"/>
  <c r="G68" i="1"/>
  <c r="L68" i="1" s="1"/>
  <c r="Q67" i="1"/>
  <c r="G57" i="1"/>
  <c r="K57" i="1" s="1"/>
  <c r="S20" i="1"/>
  <c r="S21" i="1"/>
  <c r="S40" i="1"/>
  <c r="Q54" i="1"/>
  <c r="I65" i="1" l="1"/>
  <c r="I71" i="1"/>
  <c r="P71" i="1" s="1"/>
  <c r="V71" i="1" s="1"/>
  <c r="P65" i="1"/>
  <c r="I63" i="1"/>
  <c r="P63" i="1" s="1"/>
  <c r="J68" i="1"/>
  <c r="M68" i="1"/>
  <c r="K68" i="1"/>
  <c r="H68" i="1"/>
  <c r="O68" i="1" s="1"/>
  <c r="K85" i="1" s="1"/>
  <c r="M57" i="1"/>
  <c r="J57" i="1"/>
  <c r="L57" i="1"/>
  <c r="H57" i="1"/>
  <c r="O57" i="1" s="1"/>
  <c r="E58" i="1" s="1"/>
  <c r="P58" i="1" s="1"/>
  <c r="G55" i="1"/>
  <c r="K55" i="1" s="1"/>
  <c r="G51" i="1"/>
  <c r="K51" i="1" s="1"/>
  <c r="S47" i="1"/>
  <c r="I68" i="1" l="1"/>
  <c r="P68" i="1" s="1"/>
  <c r="V68" i="1" s="1"/>
  <c r="I57" i="1"/>
  <c r="P57" i="1" s="1"/>
  <c r="L55" i="1"/>
  <c r="M55" i="1"/>
  <c r="J51" i="1"/>
  <c r="H51" i="1"/>
  <c r="O51" i="1" s="1"/>
  <c r="E52" i="1" s="1"/>
  <c r="P52" i="1" s="1"/>
  <c r="H55" i="1"/>
  <c r="I55" i="1" s="1"/>
  <c r="J55" i="1"/>
  <c r="N46" i="1"/>
  <c r="G46" i="1"/>
  <c r="M46" i="1" s="1"/>
  <c r="O55" i="1" l="1"/>
  <c r="I51" i="1"/>
  <c r="P51" i="1" s="1"/>
  <c r="P55" i="1"/>
  <c r="E56" i="1"/>
  <c r="P56" i="1" s="1"/>
  <c r="H46" i="1"/>
  <c r="O46" i="1" s="1"/>
  <c r="E47" i="1" s="1"/>
  <c r="P47" i="1" s="1"/>
  <c r="J46" i="1"/>
  <c r="K46" i="1"/>
  <c r="L46" i="1"/>
  <c r="N35" i="1"/>
  <c r="G35" i="1"/>
  <c r="K35" i="1" s="1"/>
  <c r="I46" i="1" l="1"/>
  <c r="L35" i="1"/>
  <c r="H35" i="1"/>
  <c r="M35" i="1"/>
  <c r="J35" i="1"/>
  <c r="P46" i="1"/>
  <c r="V74" i="1"/>
  <c r="O35" i="1" l="1"/>
  <c r="E36" i="1"/>
  <c r="P36" i="1" s="1"/>
  <c r="I35" i="1"/>
  <c r="S46" i="1"/>
  <c r="P35" i="1" l="1"/>
  <c r="S36" i="1"/>
  <c r="S27" i="1"/>
  <c r="G33" i="1" l="1"/>
  <c r="J33" i="1" s="1"/>
  <c r="K33" i="1" l="1"/>
  <c r="L33" i="1"/>
  <c r="H33" i="1"/>
  <c r="I33" i="1" s="1"/>
  <c r="G31" i="1"/>
  <c r="H31" i="1" s="1"/>
  <c r="O31" i="1" s="1"/>
  <c r="E32" i="1" s="1"/>
  <c r="P32" i="1" s="1"/>
  <c r="O33" i="1" l="1"/>
  <c r="P33" i="1" s="1"/>
  <c r="E34" i="1"/>
  <c r="P34" i="1" s="1"/>
  <c r="J31" i="1"/>
  <c r="L31" i="1"/>
  <c r="K31" i="1"/>
  <c r="M31" i="1"/>
  <c r="I31" i="1"/>
  <c r="P31" i="1" l="1"/>
  <c r="S45" i="1"/>
  <c r="T45" i="1" s="1"/>
  <c r="T19" i="1" l="1"/>
  <c r="S44" i="1"/>
  <c r="T44" i="1" s="1"/>
  <c r="T29" i="1"/>
  <c r="T30" i="1"/>
  <c r="G28" i="1"/>
  <c r="K28" i="1" s="1"/>
  <c r="G44" i="1"/>
  <c r="J44" i="1" s="1"/>
  <c r="H28" i="1" l="1"/>
  <c r="O28" i="1" s="1"/>
  <c r="E30" i="1" s="1"/>
  <c r="P30" i="1" s="1"/>
  <c r="J28" i="1"/>
  <c r="L28" i="1"/>
  <c r="M28" i="1"/>
  <c r="L44" i="1"/>
  <c r="M44" i="1"/>
  <c r="K44" i="1"/>
  <c r="H44" i="1"/>
  <c r="O44" i="1" s="1"/>
  <c r="E45" i="1" s="1"/>
  <c r="P45" i="1" s="1"/>
  <c r="I28" i="1" l="1"/>
  <c r="P28" i="1" s="1"/>
  <c r="I44" i="1"/>
  <c r="P44" i="1" s="1"/>
  <c r="N17" i="1"/>
  <c r="N74" i="1" s="1"/>
  <c r="K84" i="1" s="1"/>
  <c r="G17" i="1"/>
  <c r="K17" i="1" s="1"/>
  <c r="S14" i="1"/>
  <c r="T17" i="1"/>
  <c r="S15" i="1"/>
  <c r="T15" i="1" s="1"/>
  <c r="T16" i="1"/>
  <c r="S43" i="1"/>
  <c r="T43" i="1" s="1"/>
  <c r="S42" i="1"/>
  <c r="T42" i="1" s="1"/>
  <c r="G26" i="1"/>
  <c r="K26" i="1" s="1"/>
  <c r="T27" i="1"/>
  <c r="T26" i="1"/>
  <c r="T28" i="1"/>
  <c r="G42" i="1"/>
  <c r="M42" i="1" s="1"/>
  <c r="Q41" i="1"/>
  <c r="G16" i="1"/>
  <c r="O16" i="1" s="1"/>
  <c r="E18" i="1" s="1"/>
  <c r="P18" i="1" s="1"/>
  <c r="O17" i="1" l="1"/>
  <c r="E19" i="1" s="1"/>
  <c r="P19" i="1" s="1"/>
  <c r="L17" i="1"/>
  <c r="J17" i="1"/>
  <c r="M17" i="1"/>
  <c r="H17" i="1"/>
  <c r="I17" i="1" s="1"/>
  <c r="L26" i="1"/>
  <c r="H26" i="1"/>
  <c r="O26" i="1" s="1"/>
  <c r="E29" i="1" s="1"/>
  <c r="P29" i="1" s="1"/>
  <c r="M26" i="1"/>
  <c r="J26" i="1"/>
  <c r="J42" i="1"/>
  <c r="L42" i="1"/>
  <c r="K42" i="1"/>
  <c r="H42" i="1"/>
  <c r="O42" i="1" s="1"/>
  <c r="E43" i="1" s="1"/>
  <c r="P43" i="1" s="1"/>
  <c r="H16" i="1"/>
  <c r="I16" i="1" s="1"/>
  <c r="J16" i="1"/>
  <c r="K16" i="1"/>
  <c r="M16" i="1"/>
  <c r="L16" i="1"/>
  <c r="G14" i="1"/>
  <c r="O14" i="1" s="1"/>
  <c r="E15" i="1" s="1"/>
  <c r="P15" i="1" s="1"/>
  <c r="T14" i="1"/>
  <c r="T24" i="1"/>
  <c r="G24" i="1"/>
  <c r="M24" i="1" s="1"/>
  <c r="T13" i="1"/>
  <c r="S23" i="1"/>
  <c r="T23" i="1" s="1"/>
  <c r="I26" i="1" l="1"/>
  <c r="P26" i="1" s="1"/>
  <c r="P17" i="1"/>
  <c r="I42" i="1"/>
  <c r="P42" i="1" s="1"/>
  <c r="P16" i="1"/>
  <c r="L14" i="1"/>
  <c r="H14" i="1"/>
  <c r="I14" i="1" s="1"/>
  <c r="J14" i="1"/>
  <c r="K14" i="1"/>
  <c r="M14" i="1"/>
  <c r="L24" i="1"/>
  <c r="H24" i="1"/>
  <c r="O24" i="1" s="1"/>
  <c r="E27" i="1" s="1"/>
  <c r="P27" i="1" s="1"/>
  <c r="J24" i="1"/>
  <c r="K24" i="1"/>
  <c r="G23" i="1"/>
  <c r="L23" i="1" s="1"/>
  <c r="Q22" i="1"/>
  <c r="S11" i="1"/>
  <c r="T11" i="1" s="1"/>
  <c r="T10" i="1"/>
  <c r="T12" i="1"/>
  <c r="T8" i="1"/>
  <c r="Q7" i="1"/>
  <c r="I24" i="1" l="1"/>
  <c r="P24" i="1" s="1"/>
  <c r="P14" i="1"/>
  <c r="H23" i="1"/>
  <c r="O23" i="1" s="1"/>
  <c r="E25" i="1" s="1"/>
  <c r="P25" i="1" s="1"/>
  <c r="J23" i="1"/>
  <c r="K23" i="1"/>
  <c r="M23" i="1"/>
  <c r="G12" i="1"/>
  <c r="O12" i="1" s="1"/>
  <c r="E13" i="1" s="1"/>
  <c r="P13" i="1" s="1"/>
  <c r="S9" i="1"/>
  <c r="T9" i="1" s="1"/>
  <c r="T74" i="1" s="1"/>
  <c r="G10" i="1"/>
  <c r="O10" i="1" s="1"/>
  <c r="G8" i="1"/>
  <c r="L8" i="1" s="1"/>
  <c r="P11" i="1" l="1"/>
  <c r="E11" i="1"/>
  <c r="J10" i="1"/>
  <c r="K10" i="1"/>
  <c r="I23" i="1"/>
  <c r="P23" i="1" s="1"/>
  <c r="H10" i="1"/>
  <c r="I10" i="1" s="1"/>
  <c r="M10" i="1"/>
  <c r="L10" i="1"/>
  <c r="O8" i="1"/>
  <c r="O74" i="1" s="1"/>
  <c r="L12" i="1"/>
  <c r="H12" i="1"/>
  <c r="I12" i="1" s="1"/>
  <c r="J12" i="1"/>
  <c r="K12" i="1"/>
  <c r="M12" i="1"/>
  <c r="M8" i="1"/>
  <c r="K8" i="1"/>
  <c r="J8" i="1"/>
  <c r="H8" i="1"/>
  <c r="L74" i="1" l="1"/>
  <c r="M74" i="1"/>
  <c r="K74" i="1"/>
  <c r="P9" i="1"/>
  <c r="E9" i="1"/>
  <c r="P10" i="1"/>
  <c r="P12" i="1"/>
  <c r="I8" i="1"/>
  <c r="P8" i="1" s="1"/>
  <c r="P74" i="1" l="1"/>
  <c r="K82" i="1"/>
  <c r="T76" i="1" l="1"/>
  <c r="K83" i="1" s="1"/>
</calcChain>
</file>

<file path=xl/sharedStrings.xml><?xml version="1.0" encoding="utf-8"?>
<sst xmlns="http://schemas.openxmlformats.org/spreadsheetml/2006/main" count="133" uniqueCount="96">
  <si>
    <t>Amount</t>
  </si>
  <si>
    <t>UTR</t>
  </si>
  <si>
    <t>Total Paid Amount Rs. -</t>
  </si>
  <si>
    <t>Balance Payable Amount Rs. -</t>
  </si>
  <si>
    <t>KHERA Bhau Village Pipeline laying work</t>
  </si>
  <si>
    <t>03-08-2023 NEFT/AXISP00412352658/RIUP23/1324/AMAN NTERPRISES 164981.00</t>
  </si>
  <si>
    <t>22-08-2023 NEFT/AXISP00417367247/RIUP23/1655/AMAN NTERPRISES 198000.00</t>
  </si>
  <si>
    <t>22-09-2023 NEFT/AXISP00426907986/RIUP23/2218/AMAN ENTERPRISES 148500.00</t>
  </si>
  <si>
    <t>04-09-2023 NEFT/AXISP00421476873/RIUP23/1831/AMAN ENTERPRISES 12750.00</t>
  </si>
  <si>
    <t>30-09-2023 NEFT/AXISP00428978263/RIUP23/2386/AMAN ENTERPRISES  46604.00</t>
  </si>
  <si>
    <t>Panthupura Village Pipeline Work</t>
  </si>
  <si>
    <t>25-10-2023 NEFT/AXISP00436681639/RIUP23/2850/AMAN ENTERPRISES  198000.00</t>
  </si>
  <si>
    <t>17-10-2023 NEFT/AXISP00435127459/RIUP23/2697/AMAN ENTERPRISES/HDFC0004496 97549.00</t>
  </si>
  <si>
    <t>GST Relaese Note</t>
  </si>
  <si>
    <t>26-10-2023 NEFT/AXISP00437151655/RIUP23/2900/AMAN ENTERPRISES/HDFC0004496 ₹ 1,11,949.00</t>
  </si>
  <si>
    <t>27-10-2023 NEFT/AXISP00437384101/RIUP23/2965/AMAN ENTERPRISES/HDFC0004496 99000.00</t>
  </si>
  <si>
    <t>Chausana Village Pipeline Work</t>
  </si>
  <si>
    <t>10-01-2024 NEFT/AXISP00461403097/RIUP23/4194/AMAN ENTERPRISES/HDFC0004496 153738.00</t>
  </si>
  <si>
    <t>29-12-2023 NEFT/AXISP00456827636/RIUP23/4024/AMAN ENTERPRISES/HDFC0004496 247500.00</t>
  </si>
  <si>
    <t>27-12-2023 NEFT/AXISP00455698612/RIUP23/3954/AMANENTERPRISES/HDFC0004496 77124.00</t>
  </si>
  <si>
    <t>09-11-2023 NEFT/AXISP00442779039/RIUP23/3152/AMAN ENTERPRISES/HDFC0004496 70818.00</t>
  </si>
  <si>
    <t>23-11-2023 NEFT/AXISP00445939287/RIUP23/3381/AMAN ENTERPRISES/HDFC0004496 99000.00</t>
  </si>
  <si>
    <t>01-12-2023 NEFT/AXISP00448952429/RIUP23/3558/AMAN ENTERPRISES/HDFC0004496 ₹ 1,98,000.00</t>
  </si>
  <si>
    <t>23-11-2023 NEFT/AXISP00445939288/RIUP23/3380/AMAN ENTERPRISES/HDFC0004496 99000.00</t>
  </si>
  <si>
    <t>02-12-2023 NEFT/AXISP00449103408/RIUP23/3535/AMAN ENTERPRISES/HDFC0004496 16979.00</t>
  </si>
  <si>
    <t>02-12-2023 NEFT/AXISP00449103409/RIUP23/3536/AMAN ENTERPRISES/HDFC0004496 53663.00</t>
  </si>
  <si>
    <t>22-12-2023 NEFT/AXISP00454808103/RIUP23/3878/AMAN ENTERPRISES/HDFC0004496 257175.00</t>
  </si>
  <si>
    <t xml:space="preserve"> </t>
  </si>
  <si>
    <t>Total Hold</t>
  </si>
  <si>
    <t>Advance / Surplus</t>
  </si>
  <si>
    <t>25-01-2024 NEFT/AXISP00464876205/RIUP23/4402/AMAN ENTERPRISES/HDFC0004496 226591.00</t>
  </si>
  <si>
    <t>Advance Village Wise</t>
  </si>
  <si>
    <t>22-02-2024 NEFT/AXISP00473278695/RIUP23/4700/AMAN ENTERPRISES/HDFC0004496 17226.00</t>
  </si>
  <si>
    <t>06-03-2024 NEFT/AXISP00477669931/RIUP23/5008/AMAN ENTERPRISES/HDFC0004496 99000.00</t>
  </si>
  <si>
    <t>26-02-2024 NEFT/AXISP00474061291/RIUP23/4699/AMAN ENTERPRISES/HDFC0004496 133621.00</t>
  </si>
  <si>
    <t>18-03-2024 NEFT/AXISP00481766504/RIUP23/5166/AMAN ENTERPRISES/HDFC0004496 198000.00</t>
  </si>
  <si>
    <t>GST Remaining</t>
  </si>
  <si>
    <t>26-04-2024 NEFT/AXISP00493934367/RIUP23/5135/AMAN ENTERPRISES/HDFC0004496 166075.00</t>
  </si>
  <si>
    <t>28-05-2024 NEFT/AXISP00503313835/RIUP24/0634/AMAN ENTERPRISES/HDFC0004496 148500.00</t>
  </si>
  <si>
    <t>Extra Hold</t>
  </si>
  <si>
    <t>10-09-2024 NEFT/AXISP00538525516/RIUP24/1730/AMAN ENTERPRISES/HDFC0004496 49500.00</t>
  </si>
  <si>
    <t>03-08-2024 NEFT/AXISP00524511282/RIUP24/1352/AMAN ENTERPRISES/HDFC0004496 173250.00</t>
  </si>
  <si>
    <t>10-09-2024 NEFT/AXISP00538525515/RIUP24/1729/AMAN ENTERPRISES/HDFC0004496 99000.00</t>
  </si>
  <si>
    <t>21-09-2024 NEFT/AXISP00542940970/RIUP24/1887/AMAN ENTERPRISES/HDFC0004496 74250.00</t>
  </si>
  <si>
    <t>Aman Enterprises</t>
  </si>
  <si>
    <t>26-09-2024 NEFT/AXISP00544686591/RIUP24/1933/AMAN ENTERPRISES/HDFC0004496 148500.00</t>
  </si>
  <si>
    <t>01-10-2024 NEFT/AXISP00547368149/RIUP24/2044/AMAN ENTERPRISES/HDFC0004496 99000.00</t>
  </si>
  <si>
    <t>10-10-2024 NEFT/AXISP00552209291/RIUP24/2157/AMAN ENTERPRISES/HDFC0004496 69300.00</t>
  </si>
  <si>
    <t>30-10-2024 NEFT/AXISP00561390207/RIUP24/2343/AMAN ENTERPRISES/HDFC0004496 99000.00</t>
  </si>
  <si>
    <t>14-11-2024 NEFT/AXISP00569818237/RIUP24/2479/AMAN ENTERPRISES/HDFC0004496 49500.00</t>
  </si>
  <si>
    <t>28-11-2024 NEFT/AXISP00575911963/RIUP24/2570/AMAN ENTERPRISES/HDFC0004496 99000.00</t>
  </si>
  <si>
    <t>04-12-2024 NEFT/AXISP00579764036/RIUP24/2624/AMAN ENTERPRISES/HDFC0004496 74250.00</t>
  </si>
  <si>
    <t>23-12-2024 NEFT/AXISP00587800981/RIUP24/2786/AMAN ENTERPRISES/HDFC0004496 123750.00</t>
  </si>
  <si>
    <t>07-01-2025 NEFT/AXISP00595145648/RIUP24/2862/AMAN ENTERPRISES/HDFC0004496 148500.00</t>
  </si>
  <si>
    <t>29-01-2025 NEFT/AXISP00604547847/RIUP24/3036/AMAN ENTERPRISES/HDFC0004496 99000.00</t>
  </si>
  <si>
    <t>06-02-2025 NEFT/AXISP00611496709/RIUP24/3108/AMAN ENTERPRISES/HDFC0004496 99000.00</t>
  </si>
  <si>
    <t>14-02-2025 NEFT/AXISP00616404588/RIUP24/3169/AMAN ENTERPRISES/HDFC0004496 59400.00</t>
  </si>
  <si>
    <t>14-02-2025 NEFT/AXISP00616404527/RIUP24/3170/AMAN ENTERPRISES/HDFC0004496 60000.00</t>
  </si>
  <si>
    <t>06-03-2025 NEFT/AXISP00629048198/RIUP24/3363/AMAN ENTERPRISES/HDFC0004496 99000.00</t>
  </si>
  <si>
    <t xml:space="preserve">Double billing </t>
  </si>
  <si>
    <t>25-03-2025 NEFT/AXISP00638559406/RIUP24/3485/AMAN ENTERPRISES/HDFC0004496 49500.00</t>
  </si>
  <si>
    <t>26-03-2025 NEFT/AXISP00639383280/RIUP24/3498/AMAN ENTERPRISES/HDFC0004496 49500.00</t>
  </si>
  <si>
    <t>Debit</t>
  </si>
  <si>
    <t>30-04-2025 NEFT/AXISP00658307177/RIUP25/0172/AMAN ENTERPRISES/HDFC0004496 148500.00</t>
  </si>
  <si>
    <t>17-05-2025 NEFT/AXISP00667054464/RIUP25/0279/AMAN ENTERPRISES/HDFC0004496 99000.00</t>
  </si>
  <si>
    <t>29-05-2025 NEFT/AXISP00671238836/RIUP25/0369/AMAN ENTERPRISES/HDFC0004496 49500.00</t>
  </si>
  <si>
    <t xml:space="preserve">subcontactor name </t>
  </si>
  <si>
    <t>state name</t>
  </si>
  <si>
    <t>Uttar Pradesh</t>
  </si>
  <si>
    <t>district name</t>
  </si>
  <si>
    <t>block name</t>
  </si>
  <si>
    <t>Shamli</t>
  </si>
  <si>
    <t>Bajheri Viilage Road restroation work</t>
  </si>
  <si>
    <t>ABDULLAPUR URF MORJ MAJRA village BLOCK-THANABHAWAN PIPE LINE WORK</t>
  </si>
  <si>
    <t>PEER KHERA village BLOCK-UNN PIPE LINE  REPAIRING  WORK</t>
  </si>
  <si>
    <t>HARSANA village BLOCK-UNN PIPE LINE BALANCE  WORK</t>
  </si>
  <si>
    <t>BIBIPUR RATAUNDH village BLOCK -UNN Balance Pipeline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</si>
  <si>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</si>
  <si>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</si>
  <si>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</si>
  <si>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</si>
  <si>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</si>
  <si>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</si>
  <si>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</si>
  <si>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</si>
  <si>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</si>
  <si>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</si>
  <si>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</si>
  <si>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</si>
  <si>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</si>
  <si>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GST_SD_Amount</t>
  </si>
  <si>
    <t>Final_Amount</t>
  </si>
  <si>
    <t>Payment_Amount</t>
  </si>
  <si>
    <t>TDS_Payment_Amount</t>
  </si>
  <si>
    <t>Total_Amount</t>
  </si>
  <si>
    <t>29-05-2025 NEFT/AXISP00671238837/RIUP25/0370/AMAN ENTERPRISES/HDFC0004496 100000.00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</si>
</sst>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7"/>
      <color rgb="FF333333"/>
      <name val="Verdana"/>
      <family val="2"/>
    </font>
    <font>
      <sz val="8"/>
      <name val="Calibri"/>
      <family val="2"/>
      <scheme val="minor"/>
    </font>
    <font>
      <b/>
      <sz val="12"/>
      <color theme="1"/>
      <name val="Comic Sans MS"/>
      <family val="4"/>
    </font>
    <font>
      <sz val="9"/>
      <color rgb="FFFF0000"/>
      <name val="Comic Sans MS"/>
      <family val="4"/>
    </font>
    <font>
      <b/>
      <sz val="12"/>
      <color rgb="FFFF0000"/>
      <name val="Comic Sans MS"/>
      <family val="4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</fills>
  <borders count="2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7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7" fillId="0" borderId="0" xfId="0" applyFont="1" applyAlignment="1">
      <alignment vertical="center" wrapText="1"/>
    </xf>
    <xf numFmtId="0" fontId="0" fillId="3" borderId="0" xfId="0" applyFill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0" borderId="5" xfId="0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15" fontId="3" fillId="2" borderId="14" xfId="0" applyNumberFormat="1" applyFont="1" applyFill="1" applyBorder="1" applyAlignment="1">
      <alignment horizontal="center" vertical="center"/>
    </xf>
    <xf numFmtId="43" fontId="3" fillId="2" borderId="14" xfId="1" applyNumberFormat="1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43" fontId="5" fillId="0" borderId="0" xfId="1" applyNumberFormat="1" applyFont="1" applyFill="1" applyBorder="1" applyAlignment="1">
      <alignment horizontal="center" vertical="center"/>
    </xf>
    <xf numFmtId="43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vertical="center"/>
    </xf>
    <xf numFmtId="43" fontId="10" fillId="0" borderId="4" xfId="1" applyNumberFormat="1" applyFont="1" applyFill="1" applyBorder="1" applyAlignment="1">
      <alignment vertical="center"/>
    </xf>
    <xf numFmtId="43" fontId="10" fillId="0" borderId="14" xfId="1" applyNumberFormat="1" applyFont="1" applyFill="1" applyBorder="1" applyAlignment="1">
      <alignment vertical="center"/>
    </xf>
    <xf numFmtId="43" fontId="10" fillId="0" borderId="5" xfId="1" applyNumberFormat="1" applyFont="1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0" fontId="5" fillId="2" borderId="1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15" fontId="3" fillId="2" borderId="15" xfId="0" applyNumberFormat="1" applyFont="1" applyFill="1" applyBorder="1" applyAlignment="1">
      <alignment horizontal="center" vertical="center"/>
    </xf>
    <xf numFmtId="43" fontId="3" fillId="2" borderId="15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43" fontId="10" fillId="0" borderId="15" xfId="1" applyNumberFormat="1" applyFont="1" applyFill="1" applyBorder="1" applyAlignment="1">
      <alignment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43" fontId="3" fillId="3" borderId="15" xfId="1" applyNumberFormat="1" applyFont="1" applyFill="1" applyBorder="1" applyAlignment="1">
      <alignment vertical="center"/>
    </xf>
    <xf numFmtId="0" fontId="0" fillId="0" borderId="6" xfId="0" applyBorder="1" applyAlignment="1">
      <alignment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5" fontId="3" fillId="2" borderId="6" xfId="0" applyNumberFormat="1" applyFont="1" applyFill="1" applyBorder="1" applyAlignment="1">
      <alignment horizontal="center" vertical="center"/>
    </xf>
    <xf numFmtId="15" fontId="3" fillId="3" borderId="5" xfId="0" applyNumberFormat="1" applyFont="1" applyFill="1" applyBorder="1" applyAlignment="1">
      <alignment horizontal="center" vertical="center"/>
    </xf>
    <xf numFmtId="43" fontId="3" fillId="3" borderId="5" xfId="1" applyNumberFormat="1" applyFont="1" applyFill="1" applyBorder="1" applyAlignment="1">
      <alignment vertical="center"/>
    </xf>
    <xf numFmtId="43" fontId="10" fillId="3" borderId="5" xfId="1" applyNumberFormat="1" applyFont="1" applyFill="1" applyBorder="1" applyAlignment="1">
      <alignment vertical="center"/>
    </xf>
    <xf numFmtId="15" fontId="3" fillId="3" borderId="4" xfId="0" applyNumberFormat="1" applyFont="1" applyFill="1" applyBorder="1" applyAlignment="1">
      <alignment horizontal="center" vertical="center"/>
    </xf>
    <xf numFmtId="43" fontId="10" fillId="3" borderId="4" xfId="1" applyNumberFormat="1" applyFont="1" applyFill="1" applyBorder="1" applyAlignment="1">
      <alignment vertical="center"/>
    </xf>
    <xf numFmtId="0" fontId="0" fillId="5" borderId="18" xfId="0" applyFill="1" applyBorder="1" applyAlignment="1">
      <alignment vertical="center"/>
    </xf>
    <xf numFmtId="43" fontId="3" fillId="5" borderId="18" xfId="1" applyNumberFormat="1" applyFont="1" applyFill="1" applyBorder="1" applyAlignment="1">
      <alignment vertical="center"/>
    </xf>
    <xf numFmtId="9" fontId="3" fillId="5" borderId="18" xfId="1" applyNumberFormat="1" applyFont="1" applyFill="1" applyBorder="1" applyAlignment="1">
      <alignment vertical="center"/>
    </xf>
    <xf numFmtId="9" fontId="3" fillId="5" borderId="18" xfId="1" applyNumberFormat="1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43" fontId="10" fillId="4" borderId="15" xfId="1" applyNumberFormat="1" applyFont="1" applyFill="1" applyBorder="1" applyAlignment="1">
      <alignment vertical="center"/>
    </xf>
    <xf numFmtId="49" fontId="3" fillId="2" borderId="4" xfId="1" applyNumberFormat="1" applyFont="1" applyFill="1" applyBorder="1" applyAlignment="1">
      <alignment horizontal="center" vertical="center"/>
    </xf>
    <xf numFmtId="49" fontId="3" fillId="2" borderId="5" xfId="1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49" fontId="3" fillId="2" borderId="15" xfId="0" applyNumberFormat="1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49" fontId="3" fillId="3" borderId="4" xfId="1" applyNumberFormat="1" applyFont="1" applyFill="1" applyBorder="1" applyAlignment="1">
      <alignment horizontal="center" vertical="center"/>
    </xf>
    <xf numFmtId="49" fontId="3" fillId="3" borderId="5" xfId="1" applyNumberFormat="1" applyFont="1" applyFill="1" applyBorder="1" applyAlignment="1">
      <alignment horizontal="center" vertical="center"/>
    </xf>
    <xf numFmtId="49" fontId="3" fillId="5" borderId="18" xfId="1" applyNumberFormat="1" applyFont="1" applyFill="1" applyBorder="1" applyAlignment="1">
      <alignment horizontal="center" vertical="center"/>
    </xf>
    <xf numFmtId="49" fontId="3" fillId="2" borderId="15" xfId="1" applyNumberFormat="1" applyFont="1" applyFill="1" applyBorder="1" applyAlignment="1">
      <alignment horizontal="center" vertical="center"/>
    </xf>
    <xf numFmtId="49" fontId="3" fillId="2" borderId="14" xfId="1" applyNumberFormat="1" applyFont="1" applyFill="1" applyBorder="1" applyAlignment="1">
      <alignment horizontal="center" vertical="center"/>
    </xf>
    <xf numFmtId="49" fontId="3" fillId="3" borderId="15" xfId="1" applyNumberFormat="1" applyFont="1" applyFill="1" applyBorder="1" applyAlignment="1">
      <alignment horizontal="center" vertical="center"/>
    </xf>
    <xf numFmtId="15" fontId="3" fillId="3" borderId="15" xfId="0" applyNumberFormat="1" applyFont="1" applyFill="1" applyBorder="1" applyAlignment="1">
      <alignment horizontal="center" vertical="center"/>
    </xf>
    <xf numFmtId="0" fontId="0" fillId="3" borderId="14" xfId="0" applyFill="1" applyBorder="1" applyAlignment="1">
      <alignment vertical="center"/>
    </xf>
    <xf numFmtId="15" fontId="3" fillId="3" borderId="14" xfId="0" applyNumberFormat="1" applyFont="1" applyFill="1" applyBorder="1" applyAlignment="1">
      <alignment horizontal="center" vertical="center"/>
    </xf>
    <xf numFmtId="49" fontId="3" fillId="3" borderId="14" xfId="1" applyNumberFormat="1" applyFont="1" applyFill="1" applyBorder="1" applyAlignment="1">
      <alignment horizontal="center" vertical="center"/>
    </xf>
    <xf numFmtId="43" fontId="10" fillId="3" borderId="14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43" fontId="10" fillId="3" borderId="24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43" fontId="10" fillId="3" borderId="16" xfId="1" applyNumberFormat="1" applyFont="1" applyFill="1" applyBorder="1" applyAlignment="1">
      <alignment vertical="center"/>
    </xf>
    <xf numFmtId="43" fontId="10" fillId="0" borderId="16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43" fontId="3" fillId="2" borderId="24" xfId="1" applyNumberFormat="1" applyFont="1" applyFill="1" applyBorder="1" applyAlignment="1">
      <alignment vertical="center"/>
    </xf>
    <xf numFmtId="43" fontId="3" fillId="3" borderId="25" xfId="1" applyNumberFormat="1" applyFont="1" applyFill="1" applyBorder="1" applyAlignment="1">
      <alignment vertical="center"/>
    </xf>
    <xf numFmtId="43" fontId="10" fillId="3" borderId="25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3" fillId="2" borderId="21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0" fillId="2" borderId="20" xfId="0" applyFill="1" applyBorder="1" applyAlignment="1">
      <alignment vertical="center"/>
    </xf>
    <xf numFmtId="15" fontId="3" fillId="3" borderId="21" xfId="0" applyNumberFormat="1" applyFont="1" applyFill="1" applyBorder="1" applyAlignment="1">
      <alignment horizontal="center" vertical="center"/>
    </xf>
    <xf numFmtId="15" fontId="3" fillId="3" borderId="19" xfId="0" applyNumberFormat="1" applyFont="1" applyFill="1" applyBorder="1" applyAlignment="1">
      <alignment horizontal="center" vertical="center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49" fontId="3" fillId="3" borderId="21" xfId="1" applyNumberFormat="1" applyFont="1" applyFill="1" applyBorder="1" applyAlignment="1">
      <alignment horizontal="center" vertical="center"/>
    </xf>
    <xf numFmtId="49" fontId="3" fillId="3" borderId="19" xfId="1" applyNumberFormat="1" applyFont="1" applyFill="1" applyBorder="1" applyAlignment="1">
      <alignment horizontal="center" vertical="center"/>
    </xf>
    <xf numFmtId="49" fontId="3" fillId="2" borderId="19" xfId="1" applyNumberFormat="1" applyFont="1" applyFill="1" applyBorder="1" applyAlignment="1">
      <alignment horizontal="center" vertical="center"/>
    </xf>
    <xf numFmtId="15" fontId="3" fillId="3" borderId="9" xfId="0" applyNumberFormat="1" applyFont="1" applyFill="1" applyBorder="1" applyAlignment="1">
      <alignment horizontal="center" vertical="center"/>
    </xf>
    <xf numFmtId="43" fontId="3" fillId="3" borderId="0" xfId="1" applyNumberFormat="1" applyFont="1" applyFill="1" applyBorder="1" applyAlignment="1">
      <alignment vertical="center"/>
    </xf>
    <xf numFmtId="43" fontId="3" fillId="3" borderId="26" xfId="1" applyNumberFormat="1" applyFont="1" applyFill="1" applyBorder="1" applyAlignment="1">
      <alignment vertical="center"/>
    </xf>
    <xf numFmtId="43" fontId="3" fillId="3" borderId="27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9" fontId="3" fillId="3" borderId="9" xfId="1" applyNumberFormat="1" applyFont="1" applyFill="1" applyBorder="1" applyAlignment="1">
      <alignment horizontal="center" vertical="center"/>
    </xf>
    <xf numFmtId="0" fontId="0" fillId="3" borderId="16" xfId="0" applyFill="1" applyBorder="1" applyAlignment="1">
      <alignment vertical="center"/>
    </xf>
    <xf numFmtId="0" fontId="0" fillId="3" borderId="24" xfId="0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0" fontId="12" fillId="3" borderId="16" xfId="0" applyFont="1" applyFill="1" applyBorder="1"/>
    <xf numFmtId="0" fontId="5" fillId="2" borderId="25" xfId="0" applyFont="1" applyFill="1" applyBorder="1" applyAlignment="1">
      <alignment horizontal="center" vertical="center" wrapText="1"/>
    </xf>
    <xf numFmtId="43" fontId="3" fillId="5" borderId="2" xfId="1" applyNumberFormat="1" applyFont="1" applyFill="1" applyBorder="1" applyAlignment="1">
      <alignment vertical="center"/>
    </xf>
    <xf numFmtId="43" fontId="11" fillId="2" borderId="17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5" fillId="2" borderId="25" xfId="1" applyNumberFormat="1" applyFont="1" applyFill="1" applyBorder="1" applyAlignment="1">
      <alignment vertical="center"/>
    </xf>
    <xf numFmtId="43" fontId="5" fillId="2" borderId="22" xfId="1" applyNumberFormat="1" applyFont="1" applyFill="1" applyBorder="1" applyAlignment="1">
      <alignment vertical="center"/>
    </xf>
    <xf numFmtId="15" fontId="3" fillId="3" borderId="13" xfId="0" applyNumberFormat="1" applyFont="1" applyFill="1" applyBorder="1" applyAlignment="1">
      <alignment horizontal="center" vertical="center"/>
    </xf>
    <xf numFmtId="49" fontId="3" fillId="3" borderId="13" xfId="1" applyNumberFormat="1" applyFont="1" applyFill="1" applyBorder="1" applyAlignment="1">
      <alignment horizontal="center" vertical="center"/>
    </xf>
    <xf numFmtId="43" fontId="10" fillId="3" borderId="13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13" xfId="0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14" fontId="6" fillId="2" borderId="13" xfId="0" applyNumberFormat="1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43" fontId="13" fillId="2" borderId="13" xfId="2" applyFont="1" applyFill="1" applyBorder="1" applyAlignment="1">
      <alignment horizontal="center" vertical="center"/>
    </xf>
    <xf numFmtId="43" fontId="6" fillId="2" borderId="13" xfId="2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 wrapText="1"/>
    </xf>
    <xf numFmtId="0" fontId="12" fillId="0" borderId="0" xfId="0" applyFont="1"/>
    <xf numFmtId="43" fontId="9" fillId="2" borderId="8" xfId="1" applyNumberFormat="1" applyFont="1" applyFill="1" applyBorder="1" applyAlignment="1">
      <alignment horizontal="center" vertical="center"/>
    </xf>
    <xf numFmtId="43" fontId="9" fillId="2" borderId="1" xfId="1" applyNumberFormat="1" applyFont="1" applyFill="1" applyBorder="1" applyAlignment="1">
      <alignment horizontal="center" vertical="center"/>
    </xf>
    <xf numFmtId="43" fontId="9" fillId="2" borderId="9" xfId="1" applyNumberFormat="1" applyFont="1" applyFill="1" applyBorder="1" applyAlignment="1">
      <alignment horizontal="center" vertical="center"/>
    </xf>
    <xf numFmtId="14" fontId="9" fillId="2" borderId="2" xfId="1" applyNumberFormat="1" applyFont="1" applyFill="1" applyBorder="1" applyAlignment="1">
      <alignment horizontal="center" vertical="center"/>
    </xf>
    <xf numFmtId="43" fontId="9" fillId="2" borderId="3" xfId="1" applyNumberFormat="1" applyFont="1" applyFill="1" applyBorder="1" applyAlignment="1">
      <alignment horizontal="center" vertical="center"/>
    </xf>
    <xf numFmtId="43" fontId="9" fillId="2" borderId="7" xfId="1" applyNumberFormat="1" applyFont="1" applyFill="1" applyBorder="1" applyAlignment="1">
      <alignment horizontal="center" vertical="center"/>
    </xf>
    <xf numFmtId="43" fontId="9" fillId="2" borderId="2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center"/>
    </xf>
    <xf numFmtId="43" fontId="9" fillId="2" borderId="11" xfId="1" applyNumberFormat="1" applyFont="1" applyFill="1" applyBorder="1" applyAlignment="1">
      <alignment horizontal="center"/>
    </xf>
    <xf numFmtId="43" fontId="9" fillId="2" borderId="10" xfId="1" applyNumberFormat="1" applyFont="1" applyFill="1" applyBorder="1" applyAlignment="1">
      <alignment horizontal="center" vertical="center"/>
    </xf>
    <xf numFmtId="43" fontId="9" fillId="2" borderId="12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right"/>
    </xf>
    <xf numFmtId="43" fontId="9" fillId="2" borderId="11" xfId="1" applyNumberFormat="1" applyFont="1" applyFill="1" applyBorder="1" applyAlignment="1">
      <alignment horizontal="right"/>
    </xf>
  </cellXfs>
  <cellStyles count="3">
    <cellStyle name="Comma" xfId="1" builtinId="3"/>
    <cellStyle name="Comma 2" xfId="2" xr:uid="{5BF8163C-E34D-4D0C-BB81-C2D826F92DA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86"/>
  <sheetViews>
    <sheetView tabSelected="1" zoomScale="85" zoomScaleNormal="100" workbookViewId="0">
      <selection activeCell="D3" sqref="D3"/>
    </sheetView>
  </sheetViews>
  <sheetFormatPr defaultColWidth="9" defaultRowHeight="15" x14ac:dyDescent="0.25"/>
  <cols>
    <col min="1" max="1" width="13.28515625" style="2" customWidth="1"/>
    <col min="2" max="2" width="35.140625" style="2" customWidth="1"/>
    <col min="3" max="3" width="13.140625" style="2" bestFit="1" customWidth="1"/>
    <col min="4" max="4" width="11.85546875" style="2" bestFit="1" customWidth="1"/>
    <col min="5" max="5" width="12.42578125" style="2" bestFit="1" customWidth="1"/>
    <col min="6" max="6" width="11.140625" style="2" bestFit="1" customWidth="1"/>
    <col min="7" max="7" width="15.5703125" style="2" bestFit="1" customWidth="1"/>
    <col min="8" max="8" width="11.140625" style="5" bestFit="1" customWidth="1"/>
    <col min="9" max="9" width="12.28515625" style="5" bestFit="1" customWidth="1"/>
    <col min="10" max="10" width="9.7109375" style="2" bestFit="1" customWidth="1"/>
    <col min="11" max="11" width="14.140625" style="2" bestFit="1" customWidth="1"/>
    <col min="12" max="12" width="15.42578125" style="2" bestFit="1" customWidth="1"/>
    <col min="13" max="13" width="13.85546875" style="2" bestFit="1" customWidth="1"/>
    <col min="14" max="14" width="21.5703125" style="2" bestFit="1" customWidth="1"/>
    <col min="15" max="15" width="14.42578125" style="2" bestFit="1" customWidth="1"/>
    <col min="16" max="16" width="15.28515625" style="2" bestFit="1" customWidth="1"/>
    <col min="17" max="17" width="7.42578125" style="2" bestFit="1" customWidth="1"/>
    <col min="18" max="18" width="12.42578125" style="2" bestFit="1" customWidth="1"/>
    <col min="19" max="19" width="13.7109375" style="2" bestFit="1" customWidth="1"/>
    <col min="20" max="20" width="15.28515625" style="2" bestFit="1" customWidth="1"/>
    <col min="21" max="21" width="93.28515625" style="2" bestFit="1" customWidth="1"/>
    <col min="22" max="22" width="18.28515625" style="2" bestFit="1" customWidth="1"/>
    <col min="23" max="16384" width="9" style="2"/>
  </cols>
  <sheetData>
    <row r="1" spans="1:68" s="29" customFormat="1" ht="45" x14ac:dyDescent="0.25">
      <c r="A1" s="135" t="s">
        <v>66</v>
      </c>
      <c r="B1" t="s">
        <v>44</v>
      </c>
      <c r="H1" s="30"/>
      <c r="I1" s="30"/>
    </row>
    <row r="2" spans="1:68" s="29" customFormat="1" ht="21" x14ac:dyDescent="0.25">
      <c r="A2" s="134" t="s">
        <v>67</v>
      </c>
      <c r="B2" t="s">
        <v>68</v>
      </c>
      <c r="C2" s="31"/>
      <c r="D2" s="31"/>
      <c r="H2" s="32"/>
      <c r="I2" s="33"/>
      <c r="J2" s="34"/>
      <c r="K2" s="34"/>
      <c r="L2" s="34"/>
      <c r="M2" s="34"/>
      <c r="N2" s="34"/>
      <c r="O2" s="34"/>
      <c r="P2" s="34"/>
      <c r="Q2" s="35"/>
      <c r="R2" s="34"/>
      <c r="S2" s="34"/>
    </row>
    <row r="3" spans="1:68" s="29" customFormat="1" ht="21" x14ac:dyDescent="0.25">
      <c r="A3" s="134" t="s">
        <v>69</v>
      </c>
      <c r="B3" t="s">
        <v>71</v>
      </c>
      <c r="C3" s="31"/>
      <c r="D3" s="31"/>
      <c r="H3" s="32"/>
      <c r="I3" s="33"/>
      <c r="J3" s="34"/>
      <c r="K3" s="34"/>
      <c r="L3" s="34"/>
      <c r="M3" s="34"/>
      <c r="N3" s="34"/>
      <c r="O3" s="34"/>
      <c r="P3" s="34"/>
      <c r="Q3" s="35"/>
      <c r="R3" s="34"/>
      <c r="S3" s="34"/>
    </row>
    <row r="4" spans="1:68" s="29" customFormat="1" ht="15.75" thickBot="1" x14ac:dyDescent="0.3">
      <c r="A4" s="134" t="s">
        <v>70</v>
      </c>
      <c r="B4" t="s">
        <v>71</v>
      </c>
      <c r="C4" s="34"/>
      <c r="D4" s="34"/>
      <c r="E4" s="34"/>
      <c r="F4" s="34"/>
      <c r="G4" s="34"/>
      <c r="H4" s="36"/>
      <c r="I4" s="36"/>
      <c r="J4" s="34"/>
      <c r="K4" s="34"/>
      <c r="L4" s="34"/>
      <c r="M4" s="34"/>
      <c r="N4" s="34"/>
      <c r="R4" s="37"/>
      <c r="S4" s="37"/>
      <c r="T4" s="37"/>
      <c r="U4" s="37"/>
      <c r="V4" s="37"/>
    </row>
    <row r="5" spans="1:68" ht="45" x14ac:dyDescent="0.25">
      <c r="A5" s="136" t="s">
        <v>77</v>
      </c>
      <c r="B5" s="137" t="s">
        <v>78</v>
      </c>
      <c r="C5" s="138" t="s">
        <v>79</v>
      </c>
      <c r="D5" s="139" t="s">
        <v>80</v>
      </c>
      <c r="E5" s="137" t="s">
        <v>81</v>
      </c>
      <c r="F5" s="137" t="s">
        <v>82</v>
      </c>
      <c r="G5" s="139" t="s">
        <v>83</v>
      </c>
      <c r="H5" s="140" t="s">
        <v>84</v>
      </c>
      <c r="I5" s="141" t="s">
        <v>0</v>
      </c>
      <c r="J5" s="137" t="s">
        <v>85</v>
      </c>
      <c r="K5" s="137" t="s">
        <v>86</v>
      </c>
      <c r="L5" s="137" t="s">
        <v>87</v>
      </c>
      <c r="M5" s="137" t="s">
        <v>88</v>
      </c>
      <c r="N5" s="142" t="s">
        <v>89</v>
      </c>
      <c r="O5" s="137" t="s">
        <v>90</v>
      </c>
      <c r="P5" s="137" t="s">
        <v>91</v>
      </c>
      <c r="Q5" s="9"/>
      <c r="R5" s="137" t="s">
        <v>92</v>
      </c>
      <c r="S5" s="137" t="s">
        <v>93</v>
      </c>
      <c r="T5" s="137" t="s">
        <v>94</v>
      </c>
      <c r="U5" s="137" t="s">
        <v>1</v>
      </c>
      <c r="V5" s="125" t="s">
        <v>31</v>
      </c>
    </row>
    <row r="6" spans="1:68" ht="15.75" thickBot="1" x14ac:dyDescent="0.3">
      <c r="A6" s="17"/>
      <c r="B6" s="4"/>
      <c r="C6" s="4"/>
      <c r="D6" s="4"/>
      <c r="E6" s="20"/>
      <c r="F6" s="20"/>
      <c r="G6" s="21"/>
      <c r="H6" s="20">
        <v>0.18</v>
      </c>
      <c r="I6" s="20"/>
      <c r="J6" s="20">
        <v>0.01</v>
      </c>
      <c r="K6" s="20">
        <v>0.05</v>
      </c>
      <c r="L6" s="21">
        <v>0.1</v>
      </c>
      <c r="M6" s="20">
        <v>0.1</v>
      </c>
      <c r="N6" s="20"/>
      <c r="O6" s="20">
        <v>0.18</v>
      </c>
      <c r="P6" s="4"/>
      <c r="Q6" s="12"/>
      <c r="R6" s="4"/>
      <c r="S6" s="20">
        <v>0.01</v>
      </c>
      <c r="T6" s="4"/>
      <c r="U6" s="4"/>
      <c r="V6" s="93"/>
    </row>
    <row r="7" spans="1:68" s="7" customFormat="1" ht="18.600000000000001" customHeight="1" thickBot="1" x14ac:dyDescent="0.3">
      <c r="A7" s="63">
        <v>58264</v>
      </c>
      <c r="B7" s="64"/>
      <c r="C7" s="64"/>
      <c r="D7" s="64"/>
      <c r="E7" s="65"/>
      <c r="F7" s="65"/>
      <c r="G7" s="66"/>
      <c r="H7" s="65"/>
      <c r="I7" s="65"/>
      <c r="J7" s="65"/>
      <c r="K7" s="64"/>
      <c r="L7" s="66"/>
      <c r="M7" s="65"/>
      <c r="N7" s="65"/>
      <c r="O7" s="65"/>
      <c r="P7" s="64"/>
      <c r="Q7" s="67">
        <f>A7</f>
        <v>58264</v>
      </c>
      <c r="R7" s="64"/>
      <c r="S7" s="65"/>
      <c r="T7" s="64"/>
      <c r="U7" s="64"/>
      <c r="V7" s="126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</row>
    <row r="8" spans="1:68" x14ac:dyDescent="0.25">
      <c r="A8" s="2">
        <v>58264</v>
      </c>
      <c r="B8" s="38" t="s">
        <v>4</v>
      </c>
      <c r="C8" s="61">
        <v>45133</v>
      </c>
      <c r="D8" s="79">
        <v>1</v>
      </c>
      <c r="E8" s="19">
        <v>239527.5</v>
      </c>
      <c r="F8" s="19">
        <v>1.5</v>
      </c>
      <c r="G8" s="19">
        <f>E8-F8</f>
        <v>239526</v>
      </c>
      <c r="H8" s="19">
        <f>ROUND(G8*$H$6,0)</f>
        <v>43115</v>
      </c>
      <c r="I8" s="19">
        <f>G8+H8</f>
        <v>282641</v>
      </c>
      <c r="J8" s="19">
        <f>ROUND(G8*$J$6,)</f>
        <v>2395</v>
      </c>
      <c r="K8" s="19">
        <f>ROUND(G8*$K$6,)</f>
        <v>11976</v>
      </c>
      <c r="L8" s="19">
        <f>ROUND(G8*10%,)</f>
        <v>23953</v>
      </c>
      <c r="M8" s="19">
        <f>ROUND(G8*$M$6,)</f>
        <v>23953</v>
      </c>
      <c r="N8" s="19">
        <v>12267.8</v>
      </c>
      <c r="O8" s="62">
        <f>G8*O6</f>
        <v>43114.68</v>
      </c>
      <c r="P8" s="19">
        <f>ROUND(I8-SUM(J8:O8),0)</f>
        <v>164982</v>
      </c>
      <c r="Q8" s="28"/>
      <c r="R8" s="19">
        <v>167376</v>
      </c>
      <c r="S8" s="19">
        <v>2395</v>
      </c>
      <c r="T8" s="19">
        <f>R8-S8</f>
        <v>164981</v>
      </c>
      <c r="U8" s="18" t="s">
        <v>5</v>
      </c>
      <c r="V8" s="94">
        <v>-130062.29</v>
      </c>
    </row>
    <row r="9" spans="1:68" x14ac:dyDescent="0.25">
      <c r="A9" s="2">
        <v>58264</v>
      </c>
      <c r="B9" s="10" t="s">
        <v>13</v>
      </c>
      <c r="C9" s="58">
        <v>45185</v>
      </c>
      <c r="D9" s="80">
        <v>1</v>
      </c>
      <c r="E9" s="59">
        <f>O8</f>
        <v>43114.68</v>
      </c>
      <c r="F9" s="3"/>
      <c r="G9" s="3"/>
      <c r="H9" s="3"/>
      <c r="I9" s="3"/>
      <c r="J9" s="3"/>
      <c r="K9" s="3"/>
      <c r="L9" s="3"/>
      <c r="M9" s="3"/>
      <c r="N9" s="3"/>
      <c r="O9" s="3"/>
      <c r="P9" s="60">
        <f>O8</f>
        <v>43114.68</v>
      </c>
      <c r="Q9" s="11"/>
      <c r="R9" s="59">
        <v>200000</v>
      </c>
      <c r="S9" s="59">
        <f>R9*S6</f>
        <v>2000</v>
      </c>
      <c r="T9" s="59">
        <f t="shared" ref="T9:T12" si="0">R9-S9</f>
        <v>198000</v>
      </c>
      <c r="U9" s="68" t="s">
        <v>6</v>
      </c>
      <c r="V9" s="100"/>
    </row>
    <row r="10" spans="1:68" x14ac:dyDescent="0.25">
      <c r="A10" s="2">
        <v>58264</v>
      </c>
      <c r="B10" s="10" t="s">
        <v>4</v>
      </c>
      <c r="C10" s="58">
        <v>45152</v>
      </c>
      <c r="D10" s="80">
        <v>2</v>
      </c>
      <c r="E10" s="59">
        <v>338440.5</v>
      </c>
      <c r="F10" s="59">
        <v>36028.5</v>
      </c>
      <c r="G10" s="59">
        <f>E10-F10</f>
        <v>302412</v>
      </c>
      <c r="H10" s="59">
        <f>ROUND(G10*$H$6,0)</f>
        <v>54434</v>
      </c>
      <c r="I10" s="59">
        <f>G10+H10</f>
        <v>356846</v>
      </c>
      <c r="J10" s="59">
        <f>ROUND(G10*$J$6,)</f>
        <v>3024</v>
      </c>
      <c r="K10" s="59">
        <f>ROUND(G10*$K$6,)</f>
        <v>15121</v>
      </c>
      <c r="L10" s="59">
        <f>G10*L6</f>
        <v>30241.200000000001</v>
      </c>
      <c r="M10" s="59">
        <f>ROUND(G10*$M$6,)</f>
        <v>30241</v>
      </c>
      <c r="N10" s="59">
        <v>13035</v>
      </c>
      <c r="O10" s="60">
        <f>G10*O6</f>
        <v>54434.159999999996</v>
      </c>
      <c r="P10" s="59">
        <f>ROUND(I10-SUM(J10:O10),0)</f>
        <v>210750</v>
      </c>
      <c r="Q10" s="11"/>
      <c r="R10" s="59">
        <v>15774</v>
      </c>
      <c r="S10" s="59">
        <v>3024</v>
      </c>
      <c r="T10" s="59">
        <f t="shared" si="0"/>
        <v>12750</v>
      </c>
      <c r="U10" s="68" t="s">
        <v>8</v>
      </c>
      <c r="V10" s="100"/>
    </row>
    <row r="11" spans="1:68" x14ac:dyDescent="0.25">
      <c r="A11" s="2">
        <v>58264</v>
      </c>
      <c r="B11" s="10" t="s">
        <v>13</v>
      </c>
      <c r="C11" s="58">
        <v>45185</v>
      </c>
      <c r="D11" s="80">
        <v>2</v>
      </c>
      <c r="E11" s="59">
        <f>O10</f>
        <v>54434.159999999996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60">
        <f>O10</f>
        <v>54434.159999999996</v>
      </c>
      <c r="Q11" s="11"/>
      <c r="R11" s="59">
        <v>150000</v>
      </c>
      <c r="S11" s="59">
        <f>R11*S6</f>
        <v>1500</v>
      </c>
      <c r="T11" s="59">
        <f t="shared" si="0"/>
        <v>148500</v>
      </c>
      <c r="U11" s="68" t="s">
        <v>7</v>
      </c>
      <c r="V11" s="100"/>
    </row>
    <row r="12" spans="1:68" x14ac:dyDescent="0.25">
      <c r="A12" s="2">
        <v>58264</v>
      </c>
      <c r="B12" s="10" t="s">
        <v>4</v>
      </c>
      <c r="C12" s="58">
        <v>45152</v>
      </c>
      <c r="D12" s="80">
        <v>3</v>
      </c>
      <c r="E12" s="59">
        <v>352169</v>
      </c>
      <c r="F12" s="59">
        <v>54044</v>
      </c>
      <c r="G12" s="59">
        <f>E12-F12</f>
        <v>298125</v>
      </c>
      <c r="H12" s="59">
        <f>ROUND(G12*$H$6,0)</f>
        <v>53663</v>
      </c>
      <c r="I12" s="59">
        <f>G12+H12</f>
        <v>351788</v>
      </c>
      <c r="J12" s="59">
        <f>ROUND(G12*$J$6,)</f>
        <v>2981</v>
      </c>
      <c r="K12" s="59">
        <f>ROUND(G12*$K$6,)</f>
        <v>14906</v>
      </c>
      <c r="L12" s="59">
        <f>G12*L6</f>
        <v>29812.5</v>
      </c>
      <c r="M12" s="59">
        <f>ROUND(G12*$M$6,)</f>
        <v>29813</v>
      </c>
      <c r="N12" s="59">
        <v>25508</v>
      </c>
      <c r="O12" s="60">
        <f>G12*O6</f>
        <v>53662.5</v>
      </c>
      <c r="P12" s="59">
        <f>ROUND(I12-SUM(J12:O12),0)</f>
        <v>195105</v>
      </c>
      <c r="Q12" s="11"/>
      <c r="R12" s="59">
        <v>49585</v>
      </c>
      <c r="S12" s="59">
        <v>2981</v>
      </c>
      <c r="T12" s="59">
        <f t="shared" si="0"/>
        <v>46604</v>
      </c>
      <c r="U12" s="68" t="s">
        <v>9</v>
      </c>
      <c r="V12" s="100"/>
    </row>
    <row r="13" spans="1:68" x14ac:dyDescent="0.25">
      <c r="A13" s="2">
        <v>58264</v>
      </c>
      <c r="B13" s="10" t="s">
        <v>13</v>
      </c>
      <c r="C13" s="58">
        <v>45255</v>
      </c>
      <c r="D13" s="80">
        <v>3</v>
      </c>
      <c r="E13" s="59">
        <f>O12</f>
        <v>53662.5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60">
        <f>E13</f>
        <v>53662.5</v>
      </c>
      <c r="Q13" s="11"/>
      <c r="R13" s="59">
        <v>97549</v>
      </c>
      <c r="S13" s="59"/>
      <c r="T13" s="59">
        <f t="shared" ref="T13" si="1">R13-S13</f>
        <v>97549</v>
      </c>
      <c r="U13" s="68" t="s">
        <v>12</v>
      </c>
      <c r="V13" s="100"/>
    </row>
    <row r="14" spans="1:68" x14ac:dyDescent="0.25">
      <c r="A14" s="2">
        <v>58264</v>
      </c>
      <c r="B14" s="10" t="s">
        <v>4</v>
      </c>
      <c r="C14" s="58">
        <v>45152</v>
      </c>
      <c r="D14" s="80">
        <v>5</v>
      </c>
      <c r="E14" s="59">
        <v>125694</v>
      </c>
      <c r="F14" s="59">
        <v>0</v>
      </c>
      <c r="G14" s="59">
        <f>E14-F14</f>
        <v>125694</v>
      </c>
      <c r="H14" s="59">
        <f>ROUND(G14*$H$6,0)</f>
        <v>22625</v>
      </c>
      <c r="I14" s="59">
        <f>G14+H14</f>
        <v>148319</v>
      </c>
      <c r="J14" s="59">
        <f>ROUND(G14*$J$6,)</f>
        <v>1257</v>
      </c>
      <c r="K14" s="59">
        <f>ROUND(G14*$K$6,)</f>
        <v>6285</v>
      </c>
      <c r="L14" s="59">
        <f>G14*L6</f>
        <v>12569.400000000001</v>
      </c>
      <c r="M14" s="59">
        <f>ROUND(G14*$M$6,)</f>
        <v>12569</v>
      </c>
      <c r="N14" s="59">
        <v>0</v>
      </c>
      <c r="O14" s="60">
        <f>G14*O6</f>
        <v>22624.92</v>
      </c>
      <c r="P14" s="59">
        <f>ROUND(I14-SUM(J14:O14),0)</f>
        <v>93014</v>
      </c>
      <c r="Q14" s="11"/>
      <c r="R14" s="59">
        <v>100000</v>
      </c>
      <c r="S14" s="59">
        <f>R14*1%</f>
        <v>1000</v>
      </c>
      <c r="T14" s="59">
        <f t="shared" ref="T14" si="2">R14-S14</f>
        <v>99000</v>
      </c>
      <c r="U14" s="68" t="s">
        <v>15</v>
      </c>
      <c r="V14" s="100"/>
    </row>
    <row r="15" spans="1:68" x14ac:dyDescent="0.25">
      <c r="A15" s="2">
        <v>58264</v>
      </c>
      <c r="B15" s="10" t="s">
        <v>13</v>
      </c>
      <c r="C15" s="58">
        <v>45310</v>
      </c>
      <c r="D15" s="80">
        <v>5</v>
      </c>
      <c r="E15" s="59">
        <f>O14</f>
        <v>22624.92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60">
        <f>E15</f>
        <v>22624.92</v>
      </c>
      <c r="Q15" s="11"/>
      <c r="R15" s="59">
        <v>100000</v>
      </c>
      <c r="S15" s="59">
        <f>R15*1%</f>
        <v>1000</v>
      </c>
      <c r="T15" s="59">
        <f t="shared" ref="T15:T17" si="3">R15-S15</f>
        <v>99000</v>
      </c>
      <c r="U15" s="68" t="s">
        <v>23</v>
      </c>
      <c r="V15" s="100"/>
    </row>
    <row r="16" spans="1:68" x14ac:dyDescent="0.25">
      <c r="A16" s="2">
        <v>58264</v>
      </c>
      <c r="B16" s="10" t="s">
        <v>4</v>
      </c>
      <c r="C16" s="58">
        <v>45246</v>
      </c>
      <c r="D16" s="80">
        <v>8</v>
      </c>
      <c r="E16" s="59">
        <v>222041</v>
      </c>
      <c r="F16" s="59">
        <f>57225-2.5</f>
        <v>57222.5</v>
      </c>
      <c r="G16" s="59">
        <f>E16-F16</f>
        <v>164818.5</v>
      </c>
      <c r="H16" s="59">
        <f>G16*18%</f>
        <v>29667.329999999998</v>
      </c>
      <c r="I16" s="59">
        <f>G16+H16</f>
        <v>194485.83</v>
      </c>
      <c r="J16" s="59">
        <f>ROUND(G16*$J$6,)</f>
        <v>1648</v>
      </c>
      <c r="K16" s="59">
        <f>ROUND(G16*$K$6,)</f>
        <v>8241</v>
      </c>
      <c r="L16" s="59">
        <f>G16*L6</f>
        <v>16481.850000000002</v>
      </c>
      <c r="M16" s="59">
        <f>ROUND(G16*$M$6,)</f>
        <v>16482</v>
      </c>
      <c r="N16" s="59">
        <v>0</v>
      </c>
      <c r="O16" s="60">
        <f>G16*O6</f>
        <v>29667.329999999998</v>
      </c>
      <c r="P16" s="59">
        <f>ROUND(I16-SUM(J16:O16),0)</f>
        <v>121966</v>
      </c>
      <c r="Q16" s="11"/>
      <c r="R16" s="59">
        <v>18627</v>
      </c>
      <c r="S16" s="59">
        <v>1648</v>
      </c>
      <c r="T16" s="59">
        <f t="shared" si="3"/>
        <v>16979</v>
      </c>
      <c r="U16" s="68" t="s">
        <v>24</v>
      </c>
      <c r="V16" s="100"/>
    </row>
    <row r="17" spans="1:68" x14ac:dyDescent="0.25">
      <c r="A17" s="2">
        <v>58264</v>
      </c>
      <c r="B17" s="10" t="s">
        <v>4</v>
      </c>
      <c r="C17" s="58">
        <v>45272</v>
      </c>
      <c r="D17" s="80">
        <v>10</v>
      </c>
      <c r="E17" s="59">
        <v>563094</v>
      </c>
      <c r="F17" s="59">
        <f>111267-1.45</f>
        <v>111265.55</v>
      </c>
      <c r="G17" s="59">
        <f>E17-F17</f>
        <v>451828.45</v>
      </c>
      <c r="H17" s="59">
        <f>G17*18%</f>
        <v>81329.120999999999</v>
      </c>
      <c r="I17" s="59">
        <f>G17+H17</f>
        <v>533157.571</v>
      </c>
      <c r="J17" s="59">
        <f>ROUND(G17*$J$6,)</f>
        <v>4518</v>
      </c>
      <c r="K17" s="59">
        <f>ROUND(G17*$K$6,)</f>
        <v>22591</v>
      </c>
      <c r="L17" s="59">
        <f>G17*10%</f>
        <v>45182.845000000001</v>
      </c>
      <c r="M17" s="59">
        <f>ROUND(G17*$M$6,)</f>
        <v>45183</v>
      </c>
      <c r="N17" s="59">
        <f>77178</f>
        <v>77178</v>
      </c>
      <c r="O17" s="60">
        <f>G17*O6</f>
        <v>81329.120999999999</v>
      </c>
      <c r="P17" s="59">
        <f>ROUND(I17-SUM(J17:O17),0)</f>
        <v>257176</v>
      </c>
      <c r="Q17" s="11"/>
      <c r="R17" s="59">
        <v>53663</v>
      </c>
      <c r="S17" s="59">
        <v>0</v>
      </c>
      <c r="T17" s="59">
        <f t="shared" si="3"/>
        <v>53663</v>
      </c>
      <c r="U17" s="68" t="s">
        <v>25</v>
      </c>
      <c r="V17" s="100"/>
    </row>
    <row r="18" spans="1:68" x14ac:dyDescent="0.25">
      <c r="A18" s="2">
        <v>58264</v>
      </c>
      <c r="B18" s="10" t="s">
        <v>13</v>
      </c>
      <c r="C18" s="58">
        <v>45310</v>
      </c>
      <c r="D18" s="80">
        <v>8</v>
      </c>
      <c r="E18" s="59">
        <f>O16</f>
        <v>29667.329999999998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60">
        <f>E18</f>
        <v>29667.329999999998</v>
      </c>
      <c r="Q18" s="11"/>
      <c r="R18" s="59">
        <v>261693</v>
      </c>
      <c r="S18" s="59">
        <v>4518</v>
      </c>
      <c r="T18" s="59">
        <v>257175</v>
      </c>
      <c r="U18" s="68" t="s">
        <v>26</v>
      </c>
      <c r="V18" s="100"/>
    </row>
    <row r="19" spans="1:68" x14ac:dyDescent="0.25">
      <c r="A19" s="2">
        <v>58264</v>
      </c>
      <c r="B19" s="10" t="s">
        <v>13</v>
      </c>
      <c r="C19" s="58">
        <v>45310</v>
      </c>
      <c r="D19" s="80">
        <v>10</v>
      </c>
      <c r="E19" s="59">
        <f>O17</f>
        <v>81329.120999999999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60">
        <f>E19</f>
        <v>81329.120999999999</v>
      </c>
      <c r="Q19" s="11"/>
      <c r="R19" s="59">
        <v>133621</v>
      </c>
      <c r="S19" s="59">
        <v>0</v>
      </c>
      <c r="T19" s="59">
        <f t="shared" ref="T19" si="4">R19-S19</f>
        <v>133621</v>
      </c>
      <c r="U19" s="68" t="s">
        <v>34</v>
      </c>
      <c r="V19" s="100"/>
    </row>
    <row r="20" spans="1:68" x14ac:dyDescent="0.25">
      <c r="A20" s="2">
        <v>58264</v>
      </c>
      <c r="B20" s="10"/>
      <c r="C20" s="1"/>
      <c r="D20" s="75" t="s">
        <v>27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11"/>
      <c r="R20" s="59">
        <v>50000</v>
      </c>
      <c r="S20" s="59">
        <f>R20*1%</f>
        <v>500</v>
      </c>
      <c r="T20" s="59">
        <v>49500</v>
      </c>
      <c r="U20" s="68" t="s">
        <v>40</v>
      </c>
      <c r="V20" s="100"/>
    </row>
    <row r="21" spans="1:68" ht="20.25" thickBot="1" x14ac:dyDescent="0.3">
      <c r="A21" s="2">
        <v>58264</v>
      </c>
      <c r="B21" s="46"/>
      <c r="C21" s="47"/>
      <c r="D21" s="76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5"/>
      <c r="R21" s="53">
        <v>60000</v>
      </c>
      <c r="S21" s="69">
        <f>R21*1%</f>
        <v>600</v>
      </c>
      <c r="T21" s="53">
        <v>59400</v>
      </c>
      <c r="U21" s="70" t="s">
        <v>56</v>
      </c>
      <c r="V21" s="127" t="s">
        <v>59</v>
      </c>
    </row>
    <row r="22" spans="1:68" s="7" customFormat="1" ht="19.5" customHeight="1" thickBot="1" x14ac:dyDescent="0.3">
      <c r="A22" s="63">
        <v>59866</v>
      </c>
      <c r="B22" s="64"/>
      <c r="C22" s="64"/>
      <c r="D22" s="81"/>
      <c r="E22" s="65"/>
      <c r="F22" s="65"/>
      <c r="G22" s="66"/>
      <c r="H22" s="65"/>
      <c r="I22" s="65"/>
      <c r="J22" s="65"/>
      <c r="K22" s="64"/>
      <c r="L22" s="66"/>
      <c r="M22" s="65"/>
      <c r="N22" s="65"/>
      <c r="O22" s="65"/>
      <c r="P22" s="64"/>
      <c r="Q22" s="67">
        <f>A22</f>
        <v>59866</v>
      </c>
      <c r="R22" s="64"/>
      <c r="S22" s="65"/>
      <c r="T22" s="64"/>
      <c r="U22" s="64"/>
      <c r="V22" s="126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</row>
    <row r="23" spans="1:68" x14ac:dyDescent="0.25">
      <c r="A23" s="2">
        <v>59866</v>
      </c>
      <c r="B23" s="38" t="s">
        <v>10</v>
      </c>
      <c r="C23" s="61">
        <v>45212</v>
      </c>
      <c r="D23" s="79">
        <v>4</v>
      </c>
      <c r="E23" s="19">
        <v>536549</v>
      </c>
      <c r="F23" s="19">
        <v>108086</v>
      </c>
      <c r="G23" s="19">
        <f>E23-F23</f>
        <v>428463</v>
      </c>
      <c r="H23" s="19">
        <f>ROUND(G23*$H$6,0)</f>
        <v>77123</v>
      </c>
      <c r="I23" s="19">
        <f>G23+H23</f>
        <v>505586</v>
      </c>
      <c r="J23" s="19">
        <f>ROUND(G23*$J$6,)</f>
        <v>4285</v>
      </c>
      <c r="K23" s="19">
        <f>ROUND(G23*$K$6,)</f>
        <v>21423</v>
      </c>
      <c r="L23" s="19">
        <f>G23*L6</f>
        <v>42846.3</v>
      </c>
      <c r="M23" s="19">
        <f>ROUND(G23*$M$6,)</f>
        <v>42846</v>
      </c>
      <c r="N23" s="19">
        <v>7115</v>
      </c>
      <c r="O23" s="62">
        <f>H23</f>
        <v>77123</v>
      </c>
      <c r="P23" s="19">
        <f>ROUND(I23-SUM(J23:O23),0)</f>
        <v>309948</v>
      </c>
      <c r="Q23" s="28"/>
      <c r="R23" s="19">
        <v>200000</v>
      </c>
      <c r="S23" s="19">
        <f>R23*S6</f>
        <v>2000</v>
      </c>
      <c r="T23" s="19">
        <f t="shared" ref="T23" si="5">R23-S23</f>
        <v>198000</v>
      </c>
      <c r="U23" s="18" t="s">
        <v>11</v>
      </c>
      <c r="V23" s="94">
        <v>-107262</v>
      </c>
    </row>
    <row r="24" spans="1:68" x14ac:dyDescent="0.25">
      <c r="A24" s="2">
        <v>59866</v>
      </c>
      <c r="B24" s="10" t="s">
        <v>10</v>
      </c>
      <c r="C24" s="58">
        <v>45231</v>
      </c>
      <c r="D24" s="80">
        <v>6</v>
      </c>
      <c r="E24" s="59">
        <v>95700</v>
      </c>
      <c r="F24" s="59">
        <v>0</v>
      </c>
      <c r="G24" s="59">
        <f>E24-F24</f>
        <v>95700</v>
      </c>
      <c r="H24" s="59">
        <f>ROUND(G24*$H$6,0)</f>
        <v>17226</v>
      </c>
      <c r="I24" s="59">
        <f>G24+H24</f>
        <v>112926</v>
      </c>
      <c r="J24" s="59">
        <f>ROUND(G24*$J$6,)</f>
        <v>957</v>
      </c>
      <c r="K24" s="59">
        <f>ROUND(G24*$K$6,)</f>
        <v>4785</v>
      </c>
      <c r="L24" s="59">
        <f>G24*L6</f>
        <v>9570</v>
      </c>
      <c r="M24" s="59">
        <f>ROUND(G24*$M$6,)</f>
        <v>9570</v>
      </c>
      <c r="N24" s="59">
        <v>0</v>
      </c>
      <c r="O24" s="60">
        <f>H24</f>
        <v>17226</v>
      </c>
      <c r="P24" s="59">
        <f>ROUND(I24-SUM(J24:O24),0)</f>
        <v>70818</v>
      </c>
      <c r="Q24" s="11"/>
      <c r="R24" s="59">
        <v>116234</v>
      </c>
      <c r="S24" s="59">
        <v>4285</v>
      </c>
      <c r="T24" s="59">
        <f t="shared" ref="T24" si="6">R24-S24</f>
        <v>111949</v>
      </c>
      <c r="U24" s="68" t="s">
        <v>14</v>
      </c>
      <c r="V24" s="100"/>
    </row>
    <row r="25" spans="1:68" x14ac:dyDescent="0.25">
      <c r="A25" s="2">
        <v>59866</v>
      </c>
      <c r="B25" s="10" t="s">
        <v>13</v>
      </c>
      <c r="C25" s="58">
        <v>45258</v>
      </c>
      <c r="D25" s="80">
        <v>4</v>
      </c>
      <c r="E25" s="59">
        <f>O23</f>
        <v>77123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60">
        <f>E25</f>
        <v>77123</v>
      </c>
      <c r="Q25" s="11"/>
      <c r="R25" s="59">
        <v>71775</v>
      </c>
      <c r="S25" s="59">
        <v>957</v>
      </c>
      <c r="T25" s="59">
        <v>70818</v>
      </c>
      <c r="U25" s="68" t="s">
        <v>20</v>
      </c>
      <c r="V25" s="100"/>
    </row>
    <row r="26" spans="1:68" x14ac:dyDescent="0.25">
      <c r="A26" s="2">
        <v>59866</v>
      </c>
      <c r="B26" s="10" t="s">
        <v>10</v>
      </c>
      <c r="C26" s="58">
        <v>45285</v>
      </c>
      <c r="D26" s="80">
        <v>11</v>
      </c>
      <c r="E26" s="59">
        <v>608300</v>
      </c>
      <c r="F26" s="59">
        <v>0</v>
      </c>
      <c r="G26" s="59">
        <f>E26-F26</f>
        <v>608300</v>
      </c>
      <c r="H26" s="59">
        <f>ROUND(G26*$H$6,0)</f>
        <v>109494</v>
      </c>
      <c r="I26" s="59">
        <f>G26+H26</f>
        <v>717794</v>
      </c>
      <c r="J26" s="59">
        <f>ROUND(G26*$J$6,)</f>
        <v>6083</v>
      </c>
      <c r="K26" s="59">
        <f>ROUND(G26*$K$6,)</f>
        <v>30415</v>
      </c>
      <c r="L26" s="59">
        <f>G26*10%</f>
        <v>60830</v>
      </c>
      <c r="M26" s="59">
        <f>ROUND(G26*$M$6,)</f>
        <v>60830</v>
      </c>
      <c r="N26" s="59">
        <v>48904</v>
      </c>
      <c r="O26" s="60">
        <f>H26</f>
        <v>109494</v>
      </c>
      <c r="P26" s="59">
        <f>ROUND(I26-SUM(J26:O26),0)</f>
        <v>401238</v>
      </c>
      <c r="Q26" s="11"/>
      <c r="R26" s="59">
        <v>77124</v>
      </c>
      <c r="S26" s="59">
        <v>0</v>
      </c>
      <c r="T26" s="59">
        <f t="shared" ref="T26:T30" si="7">R26-S26</f>
        <v>77124</v>
      </c>
      <c r="U26" s="68" t="s">
        <v>19</v>
      </c>
      <c r="V26" s="100"/>
    </row>
    <row r="27" spans="1:68" x14ac:dyDescent="0.25">
      <c r="A27" s="2">
        <v>59866</v>
      </c>
      <c r="B27" s="10" t="s">
        <v>13</v>
      </c>
      <c r="C27" s="58">
        <v>45310</v>
      </c>
      <c r="D27" s="80">
        <v>6</v>
      </c>
      <c r="E27" s="59">
        <f>O24</f>
        <v>17226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60">
        <f>E27</f>
        <v>17226</v>
      </c>
      <c r="Q27" s="11"/>
      <c r="R27" s="59">
        <v>250000</v>
      </c>
      <c r="S27" s="59">
        <f>R27*S6</f>
        <v>2500</v>
      </c>
      <c r="T27" s="59">
        <f t="shared" si="7"/>
        <v>247500</v>
      </c>
      <c r="U27" s="68" t="s">
        <v>18</v>
      </c>
      <c r="V27" s="100"/>
    </row>
    <row r="28" spans="1:68" x14ac:dyDescent="0.25">
      <c r="A28" s="2">
        <v>59866</v>
      </c>
      <c r="B28" s="10" t="s">
        <v>10</v>
      </c>
      <c r="C28" s="58">
        <v>45306</v>
      </c>
      <c r="D28" s="80">
        <v>12</v>
      </c>
      <c r="E28" s="59">
        <v>371563</v>
      </c>
      <c r="F28" s="59">
        <f>57225+0.55</f>
        <v>57225.55</v>
      </c>
      <c r="G28" s="59">
        <f t="shared" ref="G28" si="8">E28-F28</f>
        <v>314337.45</v>
      </c>
      <c r="H28" s="59">
        <f t="shared" ref="H28" si="9">ROUND(G28*$H$6,0)</f>
        <v>56581</v>
      </c>
      <c r="I28" s="59">
        <f t="shared" ref="I28" si="10">G28+H28</f>
        <v>370918.45</v>
      </c>
      <c r="J28" s="59">
        <f t="shared" ref="J28" si="11">ROUND(G28*$J$6,)</f>
        <v>3143</v>
      </c>
      <c r="K28" s="59">
        <f t="shared" ref="K28" si="12">ROUND(G28*$K$6,)</f>
        <v>15717</v>
      </c>
      <c r="L28" s="59">
        <f t="shared" ref="L28" si="13">G28*10%</f>
        <v>31433.745000000003</v>
      </c>
      <c r="M28" s="59">
        <f t="shared" ref="M28" si="14">ROUND(G28*$M$6,)</f>
        <v>31434</v>
      </c>
      <c r="N28" s="59">
        <v>6020</v>
      </c>
      <c r="O28" s="60">
        <f t="shared" ref="O28" si="15">H28</f>
        <v>56581</v>
      </c>
      <c r="P28" s="59">
        <f t="shared" ref="P28" si="16">ROUND(I28-SUM(J28:O28),0)</f>
        <v>226590</v>
      </c>
      <c r="Q28" s="11"/>
      <c r="R28" s="59">
        <v>159821</v>
      </c>
      <c r="S28" s="59">
        <v>6083</v>
      </c>
      <c r="T28" s="59">
        <f t="shared" si="7"/>
        <v>153738</v>
      </c>
      <c r="U28" s="68" t="s">
        <v>17</v>
      </c>
      <c r="V28" s="100"/>
    </row>
    <row r="29" spans="1:68" x14ac:dyDescent="0.25">
      <c r="A29" s="2">
        <v>59866</v>
      </c>
      <c r="B29" s="10" t="s">
        <v>13</v>
      </c>
      <c r="C29" s="58">
        <v>45349</v>
      </c>
      <c r="D29" s="80">
        <v>11</v>
      </c>
      <c r="E29" s="59">
        <f>O26</f>
        <v>109494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60">
        <f>E29</f>
        <v>109494</v>
      </c>
      <c r="Q29" s="11"/>
      <c r="R29" s="59">
        <v>229734</v>
      </c>
      <c r="S29" s="59">
        <v>3143</v>
      </c>
      <c r="T29" s="59">
        <f t="shared" si="7"/>
        <v>226591</v>
      </c>
      <c r="U29" s="68" t="s">
        <v>30</v>
      </c>
      <c r="V29" s="100"/>
    </row>
    <row r="30" spans="1:68" x14ac:dyDescent="0.25">
      <c r="A30" s="2">
        <v>59866</v>
      </c>
      <c r="B30" s="10" t="s">
        <v>13</v>
      </c>
      <c r="C30" s="58">
        <v>45349</v>
      </c>
      <c r="D30" s="80">
        <v>12</v>
      </c>
      <c r="E30" s="59">
        <f>O28</f>
        <v>56581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60">
        <f>E30</f>
        <v>56581</v>
      </c>
      <c r="Q30" s="11"/>
      <c r="R30" s="59">
        <v>17226</v>
      </c>
      <c r="S30" s="59"/>
      <c r="T30" s="59">
        <f t="shared" si="7"/>
        <v>17226</v>
      </c>
      <c r="U30" s="68" t="s">
        <v>32</v>
      </c>
      <c r="V30" s="100"/>
    </row>
    <row r="31" spans="1:68" x14ac:dyDescent="0.25">
      <c r="A31" s="2">
        <v>59866</v>
      </c>
      <c r="B31" s="10" t="s">
        <v>10</v>
      </c>
      <c r="C31" s="58">
        <v>45292</v>
      </c>
      <c r="D31" s="80">
        <v>1</v>
      </c>
      <c r="E31" s="59">
        <v>177787</v>
      </c>
      <c r="F31" s="59">
        <v>1</v>
      </c>
      <c r="G31" s="59">
        <f t="shared" ref="G31" si="17">E31-F31</f>
        <v>177786</v>
      </c>
      <c r="H31" s="59">
        <f t="shared" ref="H31" si="18">ROUND(G31*$H$6,0)</f>
        <v>32001</v>
      </c>
      <c r="I31" s="59">
        <f t="shared" ref="I31" si="19">G31+H31</f>
        <v>209787</v>
      </c>
      <c r="J31" s="59">
        <f t="shared" ref="J31" si="20">ROUND(G31*$J$6,)</f>
        <v>1778</v>
      </c>
      <c r="K31" s="59">
        <f t="shared" ref="K31" si="21">ROUND(G31*$K$6,)</f>
        <v>8889</v>
      </c>
      <c r="L31" s="59">
        <f t="shared" ref="L31" si="22">G31*10%</f>
        <v>17778.600000000002</v>
      </c>
      <c r="M31" s="59">
        <f t="shared" ref="M31" si="23">ROUND(G31*$M$6,)</f>
        <v>17779</v>
      </c>
      <c r="N31" s="59">
        <v>35779</v>
      </c>
      <c r="O31" s="60">
        <f t="shared" ref="O31" si="24">H31</f>
        <v>32001</v>
      </c>
      <c r="P31" s="59">
        <f t="shared" ref="P31" si="25">ROUND(I31-SUM(J31:O31),0)</f>
        <v>95782</v>
      </c>
      <c r="Q31" s="11"/>
      <c r="R31" s="59">
        <v>166075</v>
      </c>
      <c r="S31" s="59"/>
      <c r="T31" s="59">
        <v>166075</v>
      </c>
      <c r="U31" s="68" t="s">
        <v>37</v>
      </c>
      <c r="V31" s="100"/>
    </row>
    <row r="32" spans="1:68" x14ac:dyDescent="0.25">
      <c r="A32" s="2">
        <v>59866</v>
      </c>
      <c r="B32" s="10" t="s">
        <v>13</v>
      </c>
      <c r="C32" s="58">
        <v>45486</v>
      </c>
      <c r="D32" s="80">
        <v>1</v>
      </c>
      <c r="E32" s="59">
        <f>O31</f>
        <v>32001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60">
        <f>E32</f>
        <v>32001</v>
      </c>
      <c r="Q32" s="11"/>
      <c r="R32" s="59">
        <v>150000</v>
      </c>
      <c r="S32" s="59">
        <v>1500</v>
      </c>
      <c r="T32" s="59">
        <v>148500</v>
      </c>
      <c r="U32" s="68" t="s">
        <v>38</v>
      </c>
      <c r="V32" s="100"/>
    </row>
    <row r="33" spans="1:22" x14ac:dyDescent="0.25">
      <c r="A33" s="2">
        <v>59866</v>
      </c>
      <c r="B33" s="10" t="s">
        <v>10</v>
      </c>
      <c r="C33" s="58">
        <v>45474</v>
      </c>
      <c r="D33" s="80">
        <v>2</v>
      </c>
      <c r="E33" s="59">
        <v>157832</v>
      </c>
      <c r="F33" s="59"/>
      <c r="G33" s="59">
        <f t="shared" ref="G33" si="26">E33-F33</f>
        <v>157832</v>
      </c>
      <c r="H33" s="59">
        <f t="shared" ref="H33" si="27">ROUND(G33*$H$6,0)</f>
        <v>28410</v>
      </c>
      <c r="I33" s="59">
        <f t="shared" ref="I33" si="28">G33+H33</f>
        <v>186242</v>
      </c>
      <c r="J33" s="59">
        <f t="shared" ref="J33" si="29">ROUND(G33*$J$6,)</f>
        <v>1578</v>
      </c>
      <c r="K33" s="59">
        <f t="shared" ref="K33" si="30">ROUND(G33*$K$6,)</f>
        <v>7892</v>
      </c>
      <c r="L33" s="59">
        <f t="shared" ref="L33" si="31">G33*10%</f>
        <v>15783.2</v>
      </c>
      <c r="M33" s="59">
        <v>15783.2</v>
      </c>
      <c r="N33" s="59">
        <v>23100</v>
      </c>
      <c r="O33" s="60">
        <f t="shared" ref="O33" si="32">H33</f>
        <v>28410</v>
      </c>
      <c r="P33" s="59">
        <f t="shared" ref="P33" si="33">ROUND(I33-SUM(J33:O33),0)</f>
        <v>93696</v>
      </c>
      <c r="Q33" s="11"/>
      <c r="R33" s="59">
        <v>173250</v>
      </c>
      <c r="S33" s="59"/>
      <c r="T33" s="59">
        <v>173250</v>
      </c>
      <c r="U33" s="68" t="s">
        <v>41</v>
      </c>
      <c r="V33" s="100"/>
    </row>
    <row r="34" spans="1:22" x14ac:dyDescent="0.25">
      <c r="A34" s="2">
        <v>59866</v>
      </c>
      <c r="B34" s="10" t="s">
        <v>13</v>
      </c>
      <c r="C34" s="58">
        <v>45533</v>
      </c>
      <c r="D34" s="80">
        <v>2</v>
      </c>
      <c r="E34" s="59">
        <f>H33</f>
        <v>28410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60">
        <f>E34</f>
        <v>28410</v>
      </c>
      <c r="Q34" s="11"/>
      <c r="R34" s="59">
        <v>100000</v>
      </c>
      <c r="S34" s="59">
        <v>1000</v>
      </c>
      <c r="T34" s="59">
        <v>99000</v>
      </c>
      <c r="U34" s="68" t="s">
        <v>42</v>
      </c>
      <c r="V34" s="100"/>
    </row>
    <row r="35" spans="1:22" x14ac:dyDescent="0.25">
      <c r="A35" s="2">
        <v>59866</v>
      </c>
      <c r="B35" s="10" t="s">
        <v>10</v>
      </c>
      <c r="C35" s="58">
        <v>45588</v>
      </c>
      <c r="D35" s="79">
        <v>4</v>
      </c>
      <c r="E35" s="19">
        <v>777756.5</v>
      </c>
      <c r="F35" s="19">
        <v>0.5</v>
      </c>
      <c r="G35" s="59">
        <f t="shared" ref="G35" si="34">E35-F35</f>
        <v>777756</v>
      </c>
      <c r="H35" s="59">
        <f t="shared" ref="H35" si="35">ROUND(G35*$H$6,0)</f>
        <v>139996</v>
      </c>
      <c r="I35" s="59">
        <f t="shared" ref="I35" si="36">G35+H35</f>
        <v>917752</v>
      </c>
      <c r="J35" s="59">
        <f t="shared" ref="J35" si="37">ROUND(G35*$J$6,)</f>
        <v>7778</v>
      </c>
      <c r="K35" s="59">
        <f t="shared" ref="K35" si="38">ROUND(G35*$K$6,)</f>
        <v>38888</v>
      </c>
      <c r="L35" s="59">
        <f t="shared" ref="L35" si="39">G35*10%</f>
        <v>77775.600000000006</v>
      </c>
      <c r="M35" s="59">
        <f t="shared" ref="M35" si="40">ROUND(G35*$M$6,)</f>
        <v>77776</v>
      </c>
      <c r="N35" s="59">
        <f>156.07*200</f>
        <v>31214</v>
      </c>
      <c r="O35" s="60">
        <f t="shared" ref="O35" si="41">H35</f>
        <v>139996</v>
      </c>
      <c r="P35" s="59">
        <f t="shared" ref="P35" si="42">ROUND(I35-SUM(J35:O35),0)</f>
        <v>544324</v>
      </c>
      <c r="Q35" s="28"/>
      <c r="R35" s="19">
        <v>75000</v>
      </c>
      <c r="S35" s="19">
        <v>74250</v>
      </c>
      <c r="T35" s="19">
        <v>74250</v>
      </c>
      <c r="U35" s="18" t="s">
        <v>43</v>
      </c>
      <c r="V35" s="128"/>
    </row>
    <row r="36" spans="1:22" x14ac:dyDescent="0.25">
      <c r="A36" s="2">
        <v>59866</v>
      </c>
      <c r="B36" s="10" t="s">
        <v>13</v>
      </c>
      <c r="C36" s="58">
        <v>45644</v>
      </c>
      <c r="D36" s="80">
        <v>4</v>
      </c>
      <c r="E36" s="59">
        <f>H35</f>
        <v>139996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60">
        <f>E36</f>
        <v>139996</v>
      </c>
      <c r="Q36" s="28"/>
      <c r="R36" s="19">
        <v>150000</v>
      </c>
      <c r="S36" s="59">
        <f>R36*1%</f>
        <v>1500</v>
      </c>
      <c r="T36" s="19">
        <v>148500</v>
      </c>
      <c r="U36" s="18" t="s">
        <v>45</v>
      </c>
      <c r="V36" s="128"/>
    </row>
    <row r="37" spans="1:22" x14ac:dyDescent="0.25">
      <c r="A37" s="2">
        <v>59866</v>
      </c>
      <c r="B37" s="38"/>
      <c r="C37" s="39"/>
      <c r="D37" s="73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1"/>
      <c r="Q37" s="28"/>
      <c r="R37" s="19">
        <v>50000</v>
      </c>
      <c r="S37" s="19">
        <v>500</v>
      </c>
      <c r="T37" s="19">
        <v>49500</v>
      </c>
      <c r="U37" s="18" t="s">
        <v>49</v>
      </c>
      <c r="V37" s="128"/>
    </row>
    <row r="38" spans="1:22" x14ac:dyDescent="0.25">
      <c r="A38" s="2">
        <v>59866</v>
      </c>
      <c r="B38" s="38"/>
      <c r="C38" s="39"/>
      <c r="D38" s="73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1"/>
      <c r="Q38" s="28"/>
      <c r="R38" s="19">
        <v>74250</v>
      </c>
      <c r="S38" s="19"/>
      <c r="T38" s="19">
        <v>74250</v>
      </c>
      <c r="U38" s="18" t="s">
        <v>51</v>
      </c>
      <c r="V38" s="128"/>
    </row>
    <row r="39" spans="1:22" x14ac:dyDescent="0.25">
      <c r="A39" s="2">
        <v>59866</v>
      </c>
      <c r="B39" s="38"/>
      <c r="C39" s="39"/>
      <c r="D39" s="73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1"/>
      <c r="Q39" s="28"/>
      <c r="R39" s="19">
        <v>150000</v>
      </c>
      <c r="S39" s="19">
        <v>1500</v>
      </c>
      <c r="T39" s="19">
        <v>148500</v>
      </c>
      <c r="U39" s="18" t="s">
        <v>53</v>
      </c>
      <c r="V39" s="128"/>
    </row>
    <row r="40" spans="1:22" ht="15.75" thickBot="1" x14ac:dyDescent="0.3">
      <c r="A40" s="2">
        <v>59866</v>
      </c>
      <c r="B40" s="46"/>
      <c r="C40" s="47"/>
      <c r="D40" s="82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50"/>
      <c r="Q40" s="45"/>
      <c r="R40" s="53">
        <v>100000</v>
      </c>
      <c r="S40" s="69">
        <f>R40*1%</f>
        <v>1000</v>
      </c>
      <c r="T40" s="53">
        <v>99000</v>
      </c>
      <c r="U40" s="70" t="s">
        <v>55</v>
      </c>
      <c r="V40" s="91"/>
    </row>
    <row r="41" spans="1:22" s="71" customFormat="1" ht="19.5" customHeight="1" thickBot="1" x14ac:dyDescent="0.3">
      <c r="A41" s="63">
        <v>60139</v>
      </c>
      <c r="B41" s="64"/>
      <c r="C41" s="64"/>
      <c r="D41" s="81"/>
      <c r="E41" s="65"/>
      <c r="F41" s="65"/>
      <c r="G41" s="66"/>
      <c r="H41" s="65"/>
      <c r="I41" s="65"/>
      <c r="J41" s="65"/>
      <c r="K41" s="64"/>
      <c r="L41" s="66"/>
      <c r="M41" s="65"/>
      <c r="N41" s="65"/>
      <c r="O41" s="65"/>
      <c r="P41" s="64"/>
      <c r="Q41" s="67">
        <f>A41</f>
        <v>60139</v>
      </c>
      <c r="R41" s="64"/>
      <c r="S41" s="65"/>
      <c r="T41" s="64"/>
      <c r="U41" s="64"/>
      <c r="V41" s="126"/>
    </row>
    <row r="42" spans="1:22" x14ac:dyDescent="0.25">
      <c r="A42" s="2">
        <v>60139</v>
      </c>
      <c r="B42" s="38" t="s">
        <v>16</v>
      </c>
      <c r="C42" s="61">
        <v>45246</v>
      </c>
      <c r="D42" s="79">
        <v>7</v>
      </c>
      <c r="E42" s="19">
        <v>462676</v>
      </c>
      <c r="F42" s="19">
        <v>58548</v>
      </c>
      <c r="G42" s="19">
        <f>E42-F42</f>
        <v>404128</v>
      </c>
      <c r="H42" s="19">
        <f>ROUND(G42*$H$6,0)</f>
        <v>72743</v>
      </c>
      <c r="I42" s="19">
        <f>G42+H42</f>
        <v>476871</v>
      </c>
      <c r="J42" s="19">
        <f>ROUND(G42*$J$6,)</f>
        <v>4041</v>
      </c>
      <c r="K42" s="19">
        <f>ROUND(G42*$K$6,)</f>
        <v>20206</v>
      </c>
      <c r="L42" s="19">
        <f>G42*L6</f>
        <v>40412.800000000003</v>
      </c>
      <c r="M42" s="19">
        <f>ROUND(G42*$M$6,)</f>
        <v>40413</v>
      </c>
      <c r="N42" s="19">
        <v>263458</v>
      </c>
      <c r="O42" s="62">
        <f>H42</f>
        <v>72743</v>
      </c>
      <c r="P42" s="19">
        <f>ROUND(I42-SUM(J42:O42),0)</f>
        <v>35597</v>
      </c>
      <c r="Q42" s="28"/>
      <c r="R42" s="19">
        <v>100000</v>
      </c>
      <c r="S42" s="19">
        <f>R42*S6</f>
        <v>1000</v>
      </c>
      <c r="T42" s="19">
        <f t="shared" ref="T42" si="43">R42-S42</f>
        <v>99000</v>
      </c>
      <c r="U42" s="18" t="s">
        <v>21</v>
      </c>
      <c r="V42" s="94">
        <v>-732090</v>
      </c>
    </row>
    <row r="43" spans="1:22" x14ac:dyDescent="0.25">
      <c r="A43" s="2">
        <v>60139</v>
      </c>
      <c r="B43" s="10" t="s">
        <v>13</v>
      </c>
      <c r="C43" s="58">
        <v>45310</v>
      </c>
      <c r="D43" s="80">
        <v>7</v>
      </c>
      <c r="E43" s="59">
        <f>O42</f>
        <v>72743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60">
        <f>E43</f>
        <v>72743</v>
      </c>
      <c r="Q43" s="11"/>
      <c r="R43" s="59">
        <v>200000</v>
      </c>
      <c r="S43" s="59">
        <f>R43*1%</f>
        <v>2000</v>
      </c>
      <c r="T43" s="59">
        <f t="shared" ref="T43:T44" si="44">R43-S43</f>
        <v>198000</v>
      </c>
      <c r="U43" s="68" t="s">
        <v>22</v>
      </c>
      <c r="V43" s="100"/>
    </row>
    <row r="44" spans="1:22" x14ac:dyDescent="0.25">
      <c r="A44" s="2">
        <v>60139</v>
      </c>
      <c r="B44" s="10" t="s">
        <v>16</v>
      </c>
      <c r="C44" s="58">
        <v>45332</v>
      </c>
      <c r="D44" s="80">
        <v>13</v>
      </c>
      <c r="E44" s="59">
        <v>395306</v>
      </c>
      <c r="F44" s="59">
        <v>0</v>
      </c>
      <c r="G44" s="59">
        <f>E44-F44</f>
        <v>395306</v>
      </c>
      <c r="H44" s="59">
        <f>ROUND(G44*$H$6,0)</f>
        <v>71155</v>
      </c>
      <c r="I44" s="59">
        <f>G44+H44</f>
        <v>466461</v>
      </c>
      <c r="J44" s="59">
        <f>ROUND(G44*$J$6,)</f>
        <v>3953</v>
      </c>
      <c r="K44" s="59">
        <f>ROUND(G44*$K$6,)</f>
        <v>19765</v>
      </c>
      <c r="L44" s="59">
        <f>G44*10%</f>
        <v>39530.600000000006</v>
      </c>
      <c r="M44" s="59">
        <f>ROUND(G44*$M$6,)</f>
        <v>39531</v>
      </c>
      <c r="N44" s="59">
        <v>383509</v>
      </c>
      <c r="O44" s="60">
        <f>H44</f>
        <v>71155</v>
      </c>
      <c r="P44" s="59">
        <f>ROUND(I44-SUM(J44:O44),0)</f>
        <v>-90983</v>
      </c>
      <c r="Q44" s="11"/>
      <c r="R44" s="59">
        <v>100000</v>
      </c>
      <c r="S44" s="59">
        <f>R44*1%</f>
        <v>1000</v>
      </c>
      <c r="T44" s="59">
        <f t="shared" si="44"/>
        <v>99000</v>
      </c>
      <c r="U44" s="68" t="s">
        <v>33</v>
      </c>
      <c r="V44" s="100"/>
    </row>
    <row r="45" spans="1:22" x14ac:dyDescent="0.25">
      <c r="A45" s="2">
        <v>60139</v>
      </c>
      <c r="B45" s="10" t="s">
        <v>13</v>
      </c>
      <c r="C45" s="58">
        <v>45423</v>
      </c>
      <c r="D45" s="80">
        <v>13</v>
      </c>
      <c r="E45" s="59">
        <f>O44</f>
        <v>71155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60">
        <f>E45</f>
        <v>71155</v>
      </c>
      <c r="Q45" s="11"/>
      <c r="R45" s="59">
        <v>200000</v>
      </c>
      <c r="S45" s="59">
        <f>R45*1%</f>
        <v>2000</v>
      </c>
      <c r="T45" s="59">
        <f t="shared" ref="T45" si="45">R45-S45</f>
        <v>198000</v>
      </c>
      <c r="U45" s="68" t="s">
        <v>35</v>
      </c>
      <c r="V45" s="100"/>
    </row>
    <row r="46" spans="1:22" x14ac:dyDescent="0.25">
      <c r="A46" s="2">
        <v>60139</v>
      </c>
      <c r="B46" s="10" t="s">
        <v>16</v>
      </c>
      <c r="C46" s="58">
        <v>45588</v>
      </c>
      <c r="D46" s="80">
        <v>5</v>
      </c>
      <c r="E46" s="59">
        <v>187004.65</v>
      </c>
      <c r="F46" s="59">
        <v>171675</v>
      </c>
      <c r="G46" s="59">
        <f>E46-F46</f>
        <v>15329.649999999994</v>
      </c>
      <c r="H46" s="59">
        <f>ROUND(G46*$H$6,0)</f>
        <v>2759</v>
      </c>
      <c r="I46" s="59">
        <f>G46+H46</f>
        <v>18088.649999999994</v>
      </c>
      <c r="J46" s="59">
        <f>ROUND(G46*$J$6,)</f>
        <v>153</v>
      </c>
      <c r="K46" s="59">
        <f>ROUND(G46*$K$6,)</f>
        <v>766</v>
      </c>
      <c r="L46" s="59">
        <f>G46*10%</f>
        <v>1532.9649999999995</v>
      </c>
      <c r="M46" s="59">
        <f>ROUND(G46*$M$6,)</f>
        <v>1533</v>
      </c>
      <c r="N46" s="59">
        <f>(130.38*200+26.15*330)</f>
        <v>34705.5</v>
      </c>
      <c r="O46" s="60">
        <f>H46</f>
        <v>2759</v>
      </c>
      <c r="P46" s="59">
        <f>ROUND(I46-SUM(J46:O46),0)</f>
        <v>-23361</v>
      </c>
      <c r="Q46" s="11"/>
      <c r="R46" s="59">
        <v>100000</v>
      </c>
      <c r="S46" s="59">
        <f>R46*1%</f>
        <v>1000</v>
      </c>
      <c r="T46" s="59">
        <v>99000</v>
      </c>
      <c r="U46" s="68" t="s">
        <v>46</v>
      </c>
      <c r="V46" s="100"/>
    </row>
    <row r="47" spans="1:22" x14ac:dyDescent="0.25">
      <c r="A47" s="2">
        <v>60139</v>
      </c>
      <c r="B47" s="10" t="s">
        <v>13</v>
      </c>
      <c r="C47" s="58">
        <v>45644</v>
      </c>
      <c r="D47" s="80">
        <v>5</v>
      </c>
      <c r="E47" s="59">
        <f>O46</f>
        <v>2759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60">
        <f>E47</f>
        <v>2759</v>
      </c>
      <c r="Q47" s="11"/>
      <c r="R47" s="59">
        <v>100000</v>
      </c>
      <c r="S47" s="59">
        <f>R47*1%</f>
        <v>1000</v>
      </c>
      <c r="T47" s="59">
        <v>99000</v>
      </c>
      <c r="U47" s="68" t="s">
        <v>48</v>
      </c>
      <c r="V47" s="100"/>
    </row>
    <row r="48" spans="1:22" x14ac:dyDescent="0.25">
      <c r="A48" s="2">
        <v>60139</v>
      </c>
      <c r="B48" s="10"/>
      <c r="C48" s="1"/>
      <c r="D48" s="74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43"/>
      <c r="Q48" s="11"/>
      <c r="R48" s="3"/>
      <c r="S48" s="3"/>
      <c r="T48" s="3"/>
      <c r="U48" s="15"/>
      <c r="V48" s="100"/>
    </row>
    <row r="49" spans="1:68" ht="15.75" thickBot="1" x14ac:dyDescent="0.3">
      <c r="A49" s="2">
        <v>60139</v>
      </c>
      <c r="B49" s="22"/>
      <c r="C49" s="23"/>
      <c r="D49" s="83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42"/>
      <c r="Q49" s="25"/>
      <c r="R49" s="24"/>
      <c r="S49" s="24"/>
      <c r="T49" s="24"/>
      <c r="U49" s="26"/>
      <c r="V49" s="90"/>
    </row>
    <row r="50" spans="1:68" s="7" customFormat="1" ht="15.75" thickBot="1" x14ac:dyDescent="0.3">
      <c r="A50" s="67">
        <v>66152</v>
      </c>
      <c r="B50" s="64"/>
      <c r="C50" s="64"/>
      <c r="D50" s="81"/>
      <c r="E50" s="65"/>
      <c r="F50" s="65"/>
      <c r="G50" s="66"/>
      <c r="H50" s="65"/>
      <c r="I50" s="65"/>
      <c r="J50" s="65"/>
      <c r="K50" s="64"/>
      <c r="L50" s="66"/>
      <c r="M50" s="65"/>
      <c r="N50" s="65"/>
      <c r="O50" s="65"/>
      <c r="P50" s="64"/>
      <c r="Q50" s="67">
        <v>66152</v>
      </c>
      <c r="R50" s="64"/>
      <c r="S50" s="65"/>
      <c r="T50" s="64"/>
      <c r="U50" s="64"/>
      <c r="V50" s="126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</row>
    <row r="51" spans="1:68" x14ac:dyDescent="0.25">
      <c r="A51" s="44">
        <v>66152</v>
      </c>
      <c r="B51" s="46" t="s">
        <v>72</v>
      </c>
      <c r="C51" s="85">
        <v>45591</v>
      </c>
      <c r="D51" s="84">
        <v>6</v>
      </c>
      <c r="E51" s="53">
        <v>119910</v>
      </c>
      <c r="F51" s="53">
        <v>0</v>
      </c>
      <c r="G51" s="19">
        <f>E51-F51</f>
        <v>119910</v>
      </c>
      <c r="H51" s="19">
        <f>ROUND(G51*$H$6,0)</f>
        <v>21584</v>
      </c>
      <c r="I51" s="19">
        <f>G51+H51</f>
        <v>141494</v>
      </c>
      <c r="J51" s="19">
        <f>ROUND(G51*$J$6,)</f>
        <v>1199</v>
      </c>
      <c r="K51" s="19">
        <f>ROUND(G51*$K$6,)</f>
        <v>5996</v>
      </c>
      <c r="L51" s="19"/>
      <c r="M51" s="19"/>
      <c r="N51" s="19"/>
      <c r="O51" s="62">
        <f>H51</f>
        <v>21584</v>
      </c>
      <c r="P51" s="19">
        <f>ROUND(I51-SUM(J51:O51),0)</f>
        <v>112715</v>
      </c>
      <c r="Q51" s="45"/>
      <c r="R51" s="53">
        <v>70000</v>
      </c>
      <c r="S51" s="48"/>
      <c r="T51" s="53">
        <v>69300</v>
      </c>
      <c r="U51" s="70" t="s">
        <v>47</v>
      </c>
      <c r="V51" s="94">
        <v>-45701</v>
      </c>
    </row>
    <row r="52" spans="1:68" x14ac:dyDescent="0.25">
      <c r="A52" s="13">
        <v>66152</v>
      </c>
      <c r="B52" s="10" t="s">
        <v>13</v>
      </c>
      <c r="C52" s="58">
        <v>45621</v>
      </c>
      <c r="D52" s="80">
        <v>6</v>
      </c>
      <c r="E52" s="59">
        <f>O51</f>
        <v>21584</v>
      </c>
      <c r="F52" s="3"/>
      <c r="G52" s="3"/>
      <c r="H52" s="3"/>
      <c r="I52" s="3"/>
      <c r="J52" s="3"/>
      <c r="K52" s="3"/>
      <c r="L52" s="3"/>
      <c r="M52" s="3"/>
      <c r="N52" s="3"/>
      <c r="O52" s="3"/>
      <c r="P52" s="60">
        <f>E52</f>
        <v>21584</v>
      </c>
      <c r="Q52" s="25"/>
      <c r="R52" s="59">
        <v>60000</v>
      </c>
      <c r="S52" s="3"/>
      <c r="T52" s="59">
        <v>60000</v>
      </c>
      <c r="U52" s="68" t="s">
        <v>57</v>
      </c>
      <c r="V52" s="100"/>
    </row>
    <row r="53" spans="1:68" ht="15.75" thickBot="1" x14ac:dyDescent="0.3">
      <c r="A53" s="44">
        <v>66152</v>
      </c>
      <c r="B53" s="46"/>
      <c r="C53" s="47"/>
      <c r="D53" s="82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72"/>
      <c r="Q53" s="45"/>
      <c r="R53" s="53">
        <v>50000</v>
      </c>
      <c r="S53" s="48"/>
      <c r="T53" s="53">
        <v>49500</v>
      </c>
      <c r="U53" s="86" t="s">
        <v>60</v>
      </c>
      <c r="V53" s="91"/>
    </row>
    <row r="54" spans="1:68" s="7" customFormat="1" ht="15.75" thickBot="1" x14ac:dyDescent="0.3">
      <c r="A54" s="67">
        <v>66621</v>
      </c>
      <c r="B54" s="64"/>
      <c r="C54" s="64"/>
      <c r="D54" s="81"/>
      <c r="E54" s="65"/>
      <c r="F54" s="65"/>
      <c r="G54" s="66"/>
      <c r="H54" s="65"/>
      <c r="I54" s="65"/>
      <c r="J54" s="65"/>
      <c r="K54" s="64"/>
      <c r="L54" s="66"/>
      <c r="M54" s="65"/>
      <c r="N54" s="65"/>
      <c r="O54" s="65"/>
      <c r="P54" s="64"/>
      <c r="Q54" s="67">
        <f>A54</f>
        <v>66621</v>
      </c>
      <c r="R54" s="64"/>
      <c r="S54" s="65"/>
      <c r="T54" s="64"/>
      <c r="U54" s="64"/>
      <c r="V54" s="126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</row>
    <row r="55" spans="1:68" ht="43.5" thickBot="1" x14ac:dyDescent="0.2">
      <c r="A55" s="107">
        <v>66621</v>
      </c>
      <c r="B55" s="111" t="s">
        <v>73</v>
      </c>
      <c r="C55" s="115">
        <v>45608</v>
      </c>
      <c r="D55" s="120">
        <v>7</v>
      </c>
      <c r="E55" s="116">
        <v>393795</v>
      </c>
      <c r="F55" s="104">
        <v>0</v>
      </c>
      <c r="G55" s="101">
        <f>E55-F55</f>
        <v>393795</v>
      </c>
      <c r="H55" s="101">
        <f>ROUND(G55*$H$6,0)</f>
        <v>70883</v>
      </c>
      <c r="I55" s="101">
        <f>G55+H55</f>
        <v>464678</v>
      </c>
      <c r="J55" s="101">
        <f>ROUND(G55*$J$6,)</f>
        <v>3938</v>
      </c>
      <c r="K55" s="101">
        <f>ROUND(G55*$K$6,)</f>
        <v>19690</v>
      </c>
      <c r="L55" s="101">
        <f>G55*10%</f>
        <v>39379.5</v>
      </c>
      <c r="M55" s="101">
        <f>G55*10%</f>
        <v>39379.5</v>
      </c>
      <c r="N55" s="101">
        <v>120888</v>
      </c>
      <c r="O55" s="102">
        <f>H55</f>
        <v>70883</v>
      </c>
      <c r="P55" s="101">
        <f>ROUND(I55-SUM(J55:O55),0)</f>
        <v>170520</v>
      </c>
      <c r="Q55" s="99"/>
      <c r="R55" s="104">
        <v>100000</v>
      </c>
      <c r="S55" s="92"/>
      <c r="T55" s="104">
        <v>99000</v>
      </c>
      <c r="U55" s="143" t="s">
        <v>50</v>
      </c>
      <c r="V55" s="101">
        <v>-217456</v>
      </c>
    </row>
    <row r="56" spans="1:68" ht="15.75" thickBot="1" x14ac:dyDescent="0.3">
      <c r="A56" s="107">
        <v>66621</v>
      </c>
      <c r="B56" s="105" t="s">
        <v>13</v>
      </c>
      <c r="C56" s="108">
        <v>45674</v>
      </c>
      <c r="D56" s="112">
        <v>7</v>
      </c>
      <c r="E56" s="117">
        <f>O55</f>
        <v>70883</v>
      </c>
      <c r="F56" s="100"/>
      <c r="G56" s="100"/>
      <c r="H56" s="100"/>
      <c r="I56" s="100"/>
      <c r="J56" s="100"/>
      <c r="K56" s="100"/>
      <c r="L56" s="100"/>
      <c r="M56" s="100"/>
      <c r="N56" s="100"/>
      <c r="O56" s="100"/>
      <c r="P56" s="95">
        <f>E56</f>
        <v>70883</v>
      </c>
      <c r="Q56" s="51"/>
      <c r="R56" s="103">
        <v>123750</v>
      </c>
      <c r="S56" s="90"/>
      <c r="T56" s="103">
        <v>123750</v>
      </c>
      <c r="U56" s="121" t="s">
        <v>52</v>
      </c>
      <c r="V56" s="90"/>
    </row>
    <row r="57" spans="1:68" ht="43.5" thickBot="1" x14ac:dyDescent="0.3">
      <c r="A57" s="107">
        <v>66621</v>
      </c>
      <c r="B57" s="111" t="s">
        <v>73</v>
      </c>
      <c r="C57" s="109">
        <v>45712</v>
      </c>
      <c r="D57" s="113">
        <v>8</v>
      </c>
      <c r="E57" s="118">
        <v>468239.2</v>
      </c>
      <c r="F57" s="103">
        <v>2.2000000000000002</v>
      </c>
      <c r="G57" s="96">
        <f>E57-F57</f>
        <v>468237</v>
      </c>
      <c r="H57" s="96">
        <f>ROUND(G57*$H$6,0)</f>
        <v>84283</v>
      </c>
      <c r="I57" s="96">
        <f>G57+H57</f>
        <v>552520</v>
      </c>
      <c r="J57" s="96">
        <f>(G57*$J$6)</f>
        <v>4682.37</v>
      </c>
      <c r="K57" s="96">
        <f>(G57*$K$6)</f>
        <v>23411.850000000002</v>
      </c>
      <c r="L57" s="96">
        <f>G57*10%</f>
        <v>46823.700000000004</v>
      </c>
      <c r="M57" s="96">
        <f>G57*10%</f>
        <v>46823.700000000004</v>
      </c>
      <c r="N57" s="96">
        <v>215887</v>
      </c>
      <c r="O57" s="95">
        <f>H57</f>
        <v>84283</v>
      </c>
      <c r="P57" s="96">
        <f>ROUND(I57-SUM(J57:O57),0)</f>
        <v>130608</v>
      </c>
      <c r="Q57" s="51"/>
      <c r="R57" s="103">
        <v>100000</v>
      </c>
      <c r="S57" s="90"/>
      <c r="T57" s="103">
        <v>99000</v>
      </c>
      <c r="U57" s="121" t="s">
        <v>54</v>
      </c>
      <c r="V57" s="90"/>
    </row>
    <row r="58" spans="1:68" ht="15.75" thickBot="1" x14ac:dyDescent="0.3">
      <c r="A58" s="107">
        <v>66621</v>
      </c>
      <c r="B58" s="106" t="s">
        <v>13</v>
      </c>
      <c r="C58" s="109">
        <v>45734</v>
      </c>
      <c r="D58" s="113">
        <v>8</v>
      </c>
      <c r="E58" s="118">
        <f>O57</f>
        <v>84283</v>
      </c>
      <c r="F58" s="90"/>
      <c r="G58" s="90"/>
      <c r="H58" s="90"/>
      <c r="I58" s="90"/>
      <c r="J58" s="90"/>
      <c r="K58" s="90"/>
      <c r="L58" s="90"/>
      <c r="M58" s="90"/>
      <c r="N58" s="90"/>
      <c r="O58" s="90"/>
      <c r="P58" s="97">
        <f>E58</f>
        <v>84283</v>
      </c>
      <c r="Q58" s="51"/>
      <c r="R58" s="103">
        <v>100000</v>
      </c>
      <c r="S58" s="90"/>
      <c r="T58" s="103">
        <v>99000</v>
      </c>
      <c r="U58" s="121" t="s">
        <v>58</v>
      </c>
      <c r="V58" s="90"/>
    </row>
    <row r="59" spans="1:68" ht="15.75" thickBot="1" x14ac:dyDescent="0.3">
      <c r="A59" s="107">
        <v>66621</v>
      </c>
      <c r="B59" s="106"/>
      <c r="C59" s="110"/>
      <c r="D59" s="114"/>
      <c r="E59" s="119"/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8"/>
      <c r="Q59" s="51"/>
      <c r="R59" s="103">
        <v>50000</v>
      </c>
      <c r="S59" s="90"/>
      <c r="T59" s="96">
        <v>49500</v>
      </c>
      <c r="U59" s="122" t="s">
        <v>61</v>
      </c>
      <c r="V59" s="90"/>
    </row>
    <row r="60" spans="1:68" ht="15.75" thickBot="1" x14ac:dyDescent="0.3">
      <c r="A60" s="107">
        <v>66621</v>
      </c>
      <c r="B60" s="106"/>
      <c r="C60" s="110"/>
      <c r="D60" s="114"/>
      <c r="E60" s="119"/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98"/>
      <c r="Q60" s="51"/>
      <c r="R60" s="103">
        <v>150000</v>
      </c>
      <c r="S60" s="90"/>
      <c r="T60" s="103">
        <v>148500</v>
      </c>
      <c r="U60" s="121" t="s">
        <v>63</v>
      </c>
      <c r="V60" s="91"/>
    </row>
    <row r="61" spans="1:68" s="7" customFormat="1" ht="15.75" thickBot="1" x14ac:dyDescent="0.2">
      <c r="A61" s="107">
        <v>66621</v>
      </c>
      <c r="B61" s="106"/>
      <c r="C61" s="110"/>
      <c r="D61" s="114"/>
      <c r="E61" s="119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98"/>
      <c r="Q61" s="51"/>
      <c r="R61" s="103">
        <v>50000</v>
      </c>
      <c r="S61" s="90"/>
      <c r="T61" s="103">
        <v>49500</v>
      </c>
      <c r="U61" s="124" t="s">
        <v>65</v>
      </c>
      <c r="V61" s="90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</row>
    <row r="62" spans="1:68" ht="15.75" thickBot="1" x14ac:dyDescent="0.3">
      <c r="A62" s="67">
        <v>68935</v>
      </c>
      <c r="B62" s="64"/>
      <c r="C62" s="64"/>
      <c r="D62" s="81"/>
      <c r="E62" s="65"/>
      <c r="F62" s="65"/>
      <c r="G62" s="66"/>
      <c r="H62" s="65"/>
      <c r="I62" s="65"/>
      <c r="J62" s="65"/>
      <c r="K62" s="64"/>
      <c r="L62" s="66"/>
      <c r="M62" s="65"/>
      <c r="N62" s="65"/>
      <c r="O62" s="65"/>
      <c r="P62" s="64"/>
      <c r="Q62" s="67">
        <f>A62</f>
        <v>68935</v>
      </c>
      <c r="R62" s="64"/>
      <c r="S62" s="65"/>
      <c r="T62" s="64"/>
      <c r="U62" s="64"/>
      <c r="V62" s="126"/>
    </row>
    <row r="63" spans="1:68" ht="28.5" x14ac:dyDescent="0.25">
      <c r="A63" s="44">
        <v>68935</v>
      </c>
      <c r="B63" s="46" t="s">
        <v>74</v>
      </c>
      <c r="C63" s="85">
        <v>45727</v>
      </c>
      <c r="D63" s="84">
        <v>9</v>
      </c>
      <c r="E63" s="53">
        <v>134611.5</v>
      </c>
      <c r="F63" s="53">
        <v>1.5</v>
      </c>
      <c r="G63" s="19">
        <f>E63-F63</f>
        <v>134610</v>
      </c>
      <c r="H63" s="19">
        <f>ROUND(G63*$H$6,0)</f>
        <v>24230</v>
      </c>
      <c r="I63" s="19">
        <f>G63+H63</f>
        <v>158840</v>
      </c>
      <c r="J63" s="19">
        <f>ROUND(G63*$J$6,)</f>
        <v>1346</v>
      </c>
      <c r="K63" s="19">
        <f>ROUND(G63*$K$6,)</f>
        <v>6731</v>
      </c>
      <c r="L63" s="19">
        <f>G63*10%</f>
        <v>13461</v>
      </c>
      <c r="M63" s="19">
        <f>G63*10%</f>
        <v>13461</v>
      </c>
      <c r="N63" s="19">
        <v>20157</v>
      </c>
      <c r="O63" s="62">
        <f>H63</f>
        <v>24230</v>
      </c>
      <c r="P63" s="19">
        <f>ROUND(I63-SUM(J63:O63),0)</f>
        <v>79454</v>
      </c>
      <c r="Q63" s="52"/>
      <c r="R63" s="19">
        <v>100000</v>
      </c>
      <c r="S63" s="40"/>
      <c r="T63" s="19">
        <v>99000</v>
      </c>
      <c r="U63" s="18" t="s">
        <v>64</v>
      </c>
      <c r="V63" s="94">
        <v>16788</v>
      </c>
    </row>
    <row r="64" spans="1:68" x14ac:dyDescent="0.25">
      <c r="A64" s="44">
        <v>68935</v>
      </c>
      <c r="B64" s="10" t="s">
        <v>13</v>
      </c>
      <c r="C64" s="58">
        <v>45772</v>
      </c>
      <c r="D64" s="80">
        <v>9</v>
      </c>
      <c r="E64" s="59">
        <f>O63</f>
        <v>24230</v>
      </c>
      <c r="F64" s="3"/>
      <c r="G64" s="3"/>
      <c r="H64" s="3"/>
      <c r="I64" s="3"/>
      <c r="J64" s="3"/>
      <c r="K64" s="3"/>
      <c r="L64" s="3"/>
      <c r="M64" s="3"/>
      <c r="N64" s="3"/>
      <c r="O64" s="3"/>
      <c r="P64" s="60">
        <f>E64</f>
        <v>24230</v>
      </c>
      <c r="Q64" s="52"/>
      <c r="R64" s="3"/>
      <c r="S64" s="3"/>
      <c r="T64" s="3"/>
      <c r="U64" s="15"/>
      <c r="V64" s="100"/>
    </row>
    <row r="65" spans="1:68" ht="28.5" x14ac:dyDescent="0.25">
      <c r="A65" s="44">
        <v>68935</v>
      </c>
      <c r="B65" s="46" t="s">
        <v>74</v>
      </c>
      <c r="C65" s="87">
        <v>45727</v>
      </c>
      <c r="D65" s="88">
        <v>10</v>
      </c>
      <c r="E65" s="69">
        <v>11700</v>
      </c>
      <c r="F65" s="69">
        <v>0</v>
      </c>
      <c r="G65" s="59">
        <f>E65-F65</f>
        <v>11700</v>
      </c>
      <c r="H65" s="59">
        <f>ROUND(G65*$H$6,0)</f>
        <v>2106</v>
      </c>
      <c r="I65" s="59">
        <f>G65+H65</f>
        <v>13806</v>
      </c>
      <c r="J65" s="59">
        <f>ROUND(G65*$J$6,)</f>
        <v>117</v>
      </c>
      <c r="K65" s="59">
        <f>ROUND(G65*$K$6,)</f>
        <v>585</v>
      </c>
      <c r="L65" s="59"/>
      <c r="M65" s="59"/>
      <c r="N65" s="59"/>
      <c r="O65" s="60">
        <f>H65</f>
        <v>2106</v>
      </c>
      <c r="P65" s="59">
        <f>ROUND(I65-SUM(J65:O65),0)</f>
        <v>10998</v>
      </c>
      <c r="Q65" s="52"/>
      <c r="R65" s="3"/>
      <c r="S65" s="3"/>
      <c r="T65" s="3"/>
      <c r="U65" s="15"/>
      <c r="V65" s="100"/>
    </row>
    <row r="66" spans="1:68" s="7" customFormat="1" ht="15.75" thickBot="1" x14ac:dyDescent="0.3">
      <c r="A66" s="44">
        <v>68935</v>
      </c>
      <c r="B66" s="22" t="s">
        <v>13</v>
      </c>
      <c r="C66" s="87">
        <v>45772</v>
      </c>
      <c r="D66" s="88">
        <v>10</v>
      </c>
      <c r="E66" s="69">
        <f>O65</f>
        <v>2106</v>
      </c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89">
        <f>E66</f>
        <v>2106</v>
      </c>
      <c r="Q66" s="52"/>
      <c r="R66" s="24"/>
      <c r="S66" s="24"/>
      <c r="T66" s="24"/>
      <c r="U66" s="26"/>
      <c r="V66" s="90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</row>
    <row r="67" spans="1:68" ht="15.75" thickBot="1" x14ac:dyDescent="0.3">
      <c r="A67" s="67">
        <v>69108</v>
      </c>
      <c r="B67" s="64"/>
      <c r="C67" s="64"/>
      <c r="D67" s="81"/>
      <c r="E67" s="65"/>
      <c r="F67" s="65"/>
      <c r="G67" s="66"/>
      <c r="H67" s="65"/>
      <c r="I67" s="65"/>
      <c r="J67" s="65"/>
      <c r="K67" s="64"/>
      <c r="L67" s="66"/>
      <c r="M67" s="65"/>
      <c r="N67" s="65"/>
      <c r="O67" s="65"/>
      <c r="P67" s="64"/>
      <c r="Q67" s="67">
        <f>A67</f>
        <v>69108</v>
      </c>
      <c r="R67" s="64"/>
      <c r="S67" s="65"/>
      <c r="T67" s="64"/>
      <c r="U67" s="64"/>
      <c r="V67" s="126"/>
    </row>
    <row r="68" spans="1:68" ht="28.5" x14ac:dyDescent="0.25">
      <c r="A68" s="44">
        <v>69108</v>
      </c>
      <c r="B68" s="46" t="s">
        <v>75</v>
      </c>
      <c r="C68" s="85">
        <v>45727</v>
      </c>
      <c r="D68" s="84">
        <v>11</v>
      </c>
      <c r="E68" s="53">
        <v>19500</v>
      </c>
      <c r="F68" s="53">
        <v>0</v>
      </c>
      <c r="G68" s="19">
        <f>E68-F68</f>
        <v>19500</v>
      </c>
      <c r="H68" s="19">
        <f>ROUND(G68*$H$6,0)</f>
        <v>3510</v>
      </c>
      <c r="I68" s="19">
        <f>G68+H68</f>
        <v>23010</v>
      </c>
      <c r="J68" s="19">
        <f>ROUND(G68*$J$6,)</f>
        <v>195</v>
      </c>
      <c r="K68" s="19">
        <f>ROUND(G68*$K$6,)</f>
        <v>975</v>
      </c>
      <c r="L68" s="19">
        <f>G68*10%</f>
        <v>1950</v>
      </c>
      <c r="M68" s="19">
        <f>G68*10%</f>
        <v>1950</v>
      </c>
      <c r="N68" s="19"/>
      <c r="O68" s="62">
        <f>H68</f>
        <v>3510</v>
      </c>
      <c r="P68" s="19">
        <f>ROUND(I68-SUM(J68:O68),0)</f>
        <v>14430</v>
      </c>
      <c r="Q68" s="45"/>
      <c r="R68" s="48"/>
      <c r="S68" s="48"/>
      <c r="T68" s="48"/>
      <c r="U68" s="49"/>
      <c r="V68" s="128">
        <f>SUM(P68:P69)-SUM(T68:T69)</f>
        <v>14430</v>
      </c>
    </row>
    <row r="69" spans="1:68" s="7" customFormat="1" ht="15.75" thickBot="1" x14ac:dyDescent="0.3">
      <c r="A69" s="13">
        <v>69108</v>
      </c>
      <c r="B69" s="22"/>
      <c r="C69" s="23"/>
      <c r="D69" s="77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5"/>
      <c r="R69" s="24"/>
      <c r="S69" s="24"/>
      <c r="T69" s="24"/>
      <c r="U69" s="26"/>
      <c r="V69" s="90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</row>
    <row r="70" spans="1:68" ht="15.75" thickBot="1" x14ac:dyDescent="0.3">
      <c r="A70" s="67">
        <v>69343</v>
      </c>
      <c r="B70" s="64"/>
      <c r="C70" s="64"/>
      <c r="D70" s="81"/>
      <c r="E70" s="65"/>
      <c r="F70" s="65"/>
      <c r="G70" s="66"/>
      <c r="H70" s="65"/>
      <c r="I70" s="65"/>
      <c r="J70" s="65"/>
      <c r="K70" s="64"/>
      <c r="L70" s="66"/>
      <c r="M70" s="65"/>
      <c r="N70" s="65"/>
      <c r="O70" s="65"/>
      <c r="P70" s="64"/>
      <c r="Q70" s="67">
        <f>A70</f>
        <v>69343</v>
      </c>
      <c r="R70" s="64"/>
      <c r="S70" s="65"/>
      <c r="T70" s="64"/>
      <c r="U70" s="64"/>
      <c r="V70" s="126"/>
    </row>
    <row r="71" spans="1:68" ht="29.25" thickBot="1" x14ac:dyDescent="0.2">
      <c r="A71" s="14">
        <v>69343</v>
      </c>
      <c r="B71" s="55" t="s">
        <v>76</v>
      </c>
      <c r="C71" s="131">
        <v>45786</v>
      </c>
      <c r="D71" s="132">
        <v>1</v>
      </c>
      <c r="E71" s="123">
        <v>398698</v>
      </c>
      <c r="F71" s="123">
        <v>154030</v>
      </c>
      <c r="G71" s="123">
        <f>E71-F71</f>
        <v>244668</v>
      </c>
      <c r="H71" s="123">
        <f>ROUND(G71*$H$6,0)</f>
        <v>44040</v>
      </c>
      <c r="I71" s="123">
        <f>G71+H71</f>
        <v>288708</v>
      </c>
      <c r="J71" s="123">
        <f>ROUND(G71*$J$6,)</f>
        <v>2447</v>
      </c>
      <c r="K71" s="123">
        <f>ROUND(G71*$K$6,)</f>
        <v>12233</v>
      </c>
      <c r="L71" s="123">
        <f>G71*10%</f>
        <v>24466.800000000003</v>
      </c>
      <c r="M71" s="123">
        <f>G71*10%</f>
        <v>24466.800000000003</v>
      </c>
      <c r="N71" s="123">
        <v>6298</v>
      </c>
      <c r="O71" s="133">
        <f>H71</f>
        <v>44040</v>
      </c>
      <c r="P71" s="123">
        <f>ROUND(I71-SUM(J71:O71),0)</f>
        <v>174756</v>
      </c>
      <c r="Q71" s="9"/>
      <c r="R71" s="123">
        <v>100000</v>
      </c>
      <c r="S71" s="8"/>
      <c r="T71" s="123">
        <v>99000</v>
      </c>
      <c r="U71" s="143" t="s">
        <v>95</v>
      </c>
      <c r="V71" s="101">
        <f>SUM(P71:P73)-SUM(T71:T73)</f>
        <v>75756</v>
      </c>
    </row>
    <row r="72" spans="1:68" ht="15.75" thickBot="1" x14ac:dyDescent="0.3">
      <c r="A72" s="14">
        <v>69343</v>
      </c>
      <c r="B72" s="10"/>
      <c r="C72" s="1"/>
      <c r="D72" s="75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11"/>
      <c r="R72" s="3"/>
      <c r="S72" s="3"/>
      <c r="T72" s="3"/>
      <c r="U72" s="15"/>
      <c r="V72" s="100"/>
    </row>
    <row r="73" spans="1:68" ht="15.75" thickBot="1" x14ac:dyDescent="0.3">
      <c r="A73" s="14">
        <v>69343</v>
      </c>
      <c r="B73" s="56"/>
      <c r="C73" s="57"/>
      <c r="D73" s="78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12"/>
      <c r="R73" s="4"/>
      <c r="S73" s="4"/>
      <c r="T73" s="4"/>
      <c r="U73" s="54"/>
      <c r="V73" s="93"/>
    </row>
    <row r="74" spans="1:68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27">
        <f>SUM(K8:K69)</f>
        <v>305254.84999999998</v>
      </c>
      <c r="L74" s="27">
        <f>SUM(L8:L69)</f>
        <v>597348.80499999993</v>
      </c>
      <c r="M74" s="27">
        <f>SUM(M8:M69)</f>
        <v>597350.39999999991</v>
      </c>
      <c r="N74" s="27">
        <f>SUM(N8:N69)</f>
        <v>1318725.3</v>
      </c>
      <c r="O74" s="27">
        <f>SUM(O8:O69)</f>
        <v>1098916.7110000001</v>
      </c>
      <c r="P74" s="27">
        <f>SUM(P8:P73)</f>
        <v>4495529.7110000001</v>
      </c>
      <c r="Q74" s="8"/>
      <c r="R74" s="8"/>
      <c r="S74" s="8"/>
      <c r="T74" s="27">
        <f>SUM(T8:T73)</f>
        <v>5557543</v>
      </c>
      <c r="U74" s="27" t="s">
        <v>2</v>
      </c>
      <c r="V74" s="129">
        <f>SUM(V8:V73)</f>
        <v>-1125597.29</v>
      </c>
    </row>
    <row r="75" spans="1:68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100"/>
    </row>
    <row r="76" spans="1:68" ht="15.75" thickBo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16">
        <f>P74-T74</f>
        <v>-1062013.2889999999</v>
      </c>
      <c r="U76" s="16" t="s">
        <v>3</v>
      </c>
      <c r="V76" s="130"/>
    </row>
    <row r="79" spans="1:68" ht="15.75" thickBot="1" x14ac:dyDescent="0.3"/>
    <row r="80" spans="1:68" ht="20.25" thickBot="1" x14ac:dyDescent="0.3">
      <c r="I80" s="144" t="s">
        <v>44</v>
      </c>
      <c r="J80" s="145"/>
      <c r="K80" s="145"/>
      <c r="L80" s="146"/>
      <c r="U80" s="6"/>
    </row>
    <row r="81" spans="9:12" ht="20.25" thickBot="1" x14ac:dyDescent="0.3">
      <c r="I81" s="147">
        <v>45796</v>
      </c>
      <c r="J81" s="148"/>
      <c r="K81" s="148"/>
      <c r="L81" s="149"/>
    </row>
    <row r="82" spans="9:12" ht="20.25" thickBot="1" x14ac:dyDescent="0.45">
      <c r="I82" s="150" t="s">
        <v>28</v>
      </c>
      <c r="J82" s="148"/>
      <c r="K82" s="151">
        <f>K74+L74+M74</f>
        <v>1499954.0549999997</v>
      </c>
      <c r="L82" s="152"/>
    </row>
    <row r="83" spans="9:12" ht="20.25" thickBot="1" x14ac:dyDescent="0.45">
      <c r="I83" s="150" t="s">
        <v>29</v>
      </c>
      <c r="J83" s="148"/>
      <c r="K83" s="151">
        <f>T76</f>
        <v>-1062013.2889999999</v>
      </c>
      <c r="L83" s="152"/>
    </row>
    <row r="84" spans="9:12" ht="20.25" thickBot="1" x14ac:dyDescent="0.45">
      <c r="I84" s="153" t="s">
        <v>39</v>
      </c>
      <c r="J84" s="154"/>
      <c r="K84" s="155">
        <f>N74</f>
        <v>1318725.3</v>
      </c>
      <c r="L84" s="156"/>
    </row>
    <row r="85" spans="9:12" ht="20.25" thickBot="1" x14ac:dyDescent="0.45">
      <c r="I85" s="153" t="s">
        <v>36</v>
      </c>
      <c r="J85" s="154"/>
      <c r="K85" s="155">
        <f>O71+O68</f>
        <v>47550</v>
      </c>
      <c r="L85" s="156"/>
    </row>
    <row r="86" spans="9:12" ht="20.25" thickBot="1" x14ac:dyDescent="0.45">
      <c r="I86" s="153" t="s">
        <v>62</v>
      </c>
      <c r="J86" s="154"/>
      <c r="K86" s="155"/>
      <c r="L86" s="156"/>
    </row>
  </sheetData>
  <mergeCells count="12">
    <mergeCell ref="I86:J86"/>
    <mergeCell ref="K86:L86"/>
    <mergeCell ref="I85:J85"/>
    <mergeCell ref="K85:L85"/>
    <mergeCell ref="I84:J84"/>
    <mergeCell ref="K84:L84"/>
    <mergeCell ref="I80:L80"/>
    <mergeCell ref="I81:L81"/>
    <mergeCell ref="I82:J82"/>
    <mergeCell ref="K82:L82"/>
    <mergeCell ref="I83:J83"/>
    <mergeCell ref="K83:L83"/>
  </mergeCells>
  <phoneticPr fontId="8" type="noConversion"/>
  <pageMargins left="0.7" right="0.7" top="0.75" bottom="0.75" header="0.3" footer="0.3"/>
  <pageSetup orientation="portrait" r:id="rId1"/>
  <ignoredErrors>
    <ignoredError sqref="P9 P11 P25:P28 P15 P41:P43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2024-05-17T09:37:58Z</cp:lastPrinted>
  <dcterms:created xsi:type="dcterms:W3CDTF">2022-06-10T14:11:52Z</dcterms:created>
  <dcterms:modified xsi:type="dcterms:W3CDTF">2025-08-23T09:37:11Z</dcterms:modified>
</cp:coreProperties>
</file>