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Contractor\"/>
    </mc:Choice>
  </mc:AlternateContent>
  <bookViews>
    <workbookView xWindow="0" yWindow="0" windowWidth="28800" windowHeight="13500"/>
  </bookViews>
  <sheets>
    <sheet name="Sheet1" sheetId="1" r:id="rId1"/>
  </sheets>
  <definedNames>
    <definedName name="_xlnm._FilterDatabase" localSheetId="0" hidden="1">Sheet1!$A$5:$W$11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03" i="1" l="1"/>
  <c r="Q87" i="1"/>
  <c r="Q86" i="1"/>
  <c r="Q89" i="1"/>
  <c r="Q90" i="1"/>
  <c r="G89" i="1"/>
  <c r="H89" i="1" s="1"/>
  <c r="R88" i="1"/>
  <c r="G86" i="1"/>
  <c r="H86" i="1" s="1"/>
  <c r="R85" i="1"/>
  <c r="O89" i="1" l="1"/>
  <c r="K89" i="1"/>
  <c r="I89" i="1"/>
  <c r="J89" i="1"/>
  <c r="O86" i="1"/>
  <c r="K86" i="1"/>
  <c r="I86" i="1"/>
  <c r="J86" i="1"/>
  <c r="G65" i="1"/>
  <c r="H65" i="1" s="1"/>
  <c r="E66" i="1" s="1"/>
  <c r="G14" i="1"/>
  <c r="H14" i="1" s="1"/>
  <c r="O14" i="1" s="1"/>
  <c r="R13" i="1"/>
  <c r="X89" i="1" l="1"/>
  <c r="X86" i="1"/>
  <c r="E15" i="1"/>
  <c r="Q15" i="1" s="1"/>
  <c r="J65" i="1"/>
  <c r="O65" i="1"/>
  <c r="Q66" i="1" s="1"/>
  <c r="I65" i="1"/>
  <c r="K65" i="1"/>
  <c r="K14" i="1"/>
  <c r="N14" i="1"/>
  <c r="J14" i="1"/>
  <c r="R82" i="1"/>
  <c r="G83" i="1"/>
  <c r="K83" i="1" s="1"/>
  <c r="Q65" i="1" l="1"/>
  <c r="I14" i="1"/>
  <c r="Q14" i="1" s="1"/>
  <c r="X14" i="1" s="1"/>
  <c r="H83" i="1"/>
  <c r="J83" i="1"/>
  <c r="O83" i="1" l="1"/>
  <c r="Q84" i="1" s="1"/>
  <c r="E84" i="1"/>
  <c r="I83" i="1"/>
  <c r="G46" i="1"/>
  <c r="P46" i="1" s="1"/>
  <c r="Q83" i="1" l="1"/>
  <c r="X83" i="1" s="1"/>
  <c r="H46" i="1"/>
  <c r="E47" i="1" s="1"/>
  <c r="J46" i="1"/>
  <c r="K46" i="1"/>
  <c r="O46" i="1"/>
  <c r="Q47" i="1" s="1"/>
  <c r="I46" i="1" l="1"/>
  <c r="Q46" i="1" s="1"/>
  <c r="G79" i="1"/>
  <c r="J79" i="1" l="1"/>
  <c r="K79" i="1"/>
  <c r="H79" i="1"/>
  <c r="O79" i="1" s="1"/>
  <c r="E80" i="1" s="1"/>
  <c r="Q80" i="1" s="1"/>
  <c r="G63" i="1"/>
  <c r="K63" i="1" s="1"/>
  <c r="R62" i="1"/>
  <c r="I79" i="1" l="1"/>
  <c r="Q79" i="1" s="1"/>
  <c r="H63" i="1"/>
  <c r="O63" i="1" s="1"/>
  <c r="E64" i="1" s="1"/>
  <c r="Q64" i="1" s="1"/>
  <c r="J63" i="1"/>
  <c r="G77" i="1"/>
  <c r="R76" i="1"/>
  <c r="G73" i="1"/>
  <c r="R72" i="1"/>
  <c r="G26" i="1"/>
  <c r="H26" i="1" s="1"/>
  <c r="I63" i="1" l="1"/>
  <c r="J26" i="1"/>
  <c r="O26" i="1"/>
  <c r="Q27" i="1" s="1"/>
  <c r="I26" i="1"/>
  <c r="K26" i="1"/>
  <c r="Q63" i="1"/>
  <c r="X63" i="1" s="1"/>
  <c r="J77" i="1"/>
  <c r="K77" i="1"/>
  <c r="H77" i="1"/>
  <c r="O77" i="1" s="1"/>
  <c r="E78" i="1" s="1"/>
  <c r="Q78" i="1" s="1"/>
  <c r="K73" i="1"/>
  <c r="J73" i="1"/>
  <c r="H73" i="1"/>
  <c r="O73" i="1" s="1"/>
  <c r="E74" i="1" s="1"/>
  <c r="Q74" i="1" s="1"/>
  <c r="R68" i="1"/>
  <c r="G69" i="1"/>
  <c r="J69" i="1" s="1"/>
  <c r="G60" i="1"/>
  <c r="K60" i="1" s="1"/>
  <c r="R59" i="1"/>
  <c r="Q26" i="1" l="1"/>
  <c r="I77" i="1"/>
  <c r="Q77" i="1" s="1"/>
  <c r="X77" i="1" s="1"/>
  <c r="I73" i="1"/>
  <c r="Q73" i="1" s="1"/>
  <c r="X73" i="1" s="1"/>
  <c r="K69" i="1"/>
  <c r="H69" i="1"/>
  <c r="O69" i="1" s="1"/>
  <c r="E70" i="1" s="1"/>
  <c r="Q70" i="1" s="1"/>
  <c r="H60" i="1"/>
  <c r="J60" i="1"/>
  <c r="E34" i="1"/>
  <c r="Q34" i="1" s="1"/>
  <c r="O60" i="1" l="1"/>
  <c r="Q61" i="1" s="1"/>
  <c r="E61" i="1"/>
  <c r="I69" i="1"/>
  <c r="Q69" i="1" s="1"/>
  <c r="X69" i="1" s="1"/>
  <c r="I60" i="1"/>
  <c r="X19" i="1"/>
  <c r="O24" i="1"/>
  <c r="G53" i="1"/>
  <c r="J53" i="1" s="1"/>
  <c r="I54" i="1"/>
  <c r="N102" i="1"/>
  <c r="Q60" i="1" l="1"/>
  <c r="X60" i="1" s="1"/>
  <c r="Q24" i="1"/>
  <c r="Q25" i="1"/>
  <c r="H53" i="1"/>
  <c r="G56" i="1"/>
  <c r="H56" i="1" s="1"/>
  <c r="O56" i="1" s="1"/>
  <c r="E57" i="1" s="1"/>
  <c r="Q57" i="1" s="1"/>
  <c r="R55" i="1"/>
  <c r="R7" i="1"/>
  <c r="R18" i="1"/>
  <c r="R23" i="1"/>
  <c r="R29" i="1"/>
  <c r="R35" i="1"/>
  <c r="R49" i="1"/>
  <c r="R52" i="1"/>
  <c r="R41" i="1"/>
  <c r="V42" i="1"/>
  <c r="V37" i="1"/>
  <c r="V38" i="1"/>
  <c r="V39" i="1"/>
  <c r="V36" i="1"/>
  <c r="V9" i="1"/>
  <c r="V10" i="1"/>
  <c r="V8" i="1"/>
  <c r="G44" i="1"/>
  <c r="E42" i="1"/>
  <c r="G42" i="1" s="1"/>
  <c r="H42" i="1" s="1"/>
  <c r="E43" i="1" s="1"/>
  <c r="Q43" i="1" s="1"/>
  <c r="X24" i="1" l="1"/>
  <c r="O53" i="1"/>
  <c r="E54" i="1" s="1"/>
  <c r="Q54" i="1" s="1"/>
  <c r="I53" i="1"/>
  <c r="K42" i="1"/>
  <c r="J56" i="1"/>
  <c r="I56" i="1"/>
  <c r="K56" i="1"/>
  <c r="H44" i="1"/>
  <c r="E45" i="1" s="1"/>
  <c r="Q45" i="1" s="1"/>
  <c r="K44" i="1"/>
  <c r="O42" i="1"/>
  <c r="O44" i="1"/>
  <c r="J44" i="1"/>
  <c r="J42" i="1"/>
  <c r="Q53" i="1" l="1"/>
  <c r="X53" i="1" s="1"/>
  <c r="Q42" i="1"/>
  <c r="Q44" i="1"/>
  <c r="Q56" i="1"/>
  <c r="X56" i="1" s="1"/>
  <c r="I44" i="1"/>
  <c r="I42" i="1"/>
  <c r="X42" i="1" l="1"/>
  <c r="G32" i="1"/>
  <c r="K32" i="1" s="1"/>
  <c r="G50" i="1"/>
  <c r="H50" i="1" s="1"/>
  <c r="E51" i="1" l="1"/>
  <c r="G51" i="1" s="1"/>
  <c r="I51" i="1" s="1"/>
  <c r="Q51" i="1" s="1"/>
  <c r="O50" i="1"/>
  <c r="L32" i="1"/>
  <c r="L92" i="1" s="1"/>
  <c r="M32" i="1"/>
  <c r="M92" i="1" s="1"/>
  <c r="H32" i="1"/>
  <c r="I32" i="1" s="1"/>
  <c r="N32" i="1"/>
  <c r="J32" i="1"/>
  <c r="J50" i="1"/>
  <c r="K50" i="1"/>
  <c r="O32" i="1" l="1"/>
  <c r="E33" i="1" s="1"/>
  <c r="Q33" i="1" s="1"/>
  <c r="I50" i="1"/>
  <c r="Q32" i="1" l="1"/>
  <c r="G39" i="1"/>
  <c r="G38" i="1"/>
  <c r="H38" i="1" s="1"/>
  <c r="G37" i="1"/>
  <c r="E36" i="1"/>
  <c r="G36" i="1" s="1"/>
  <c r="K36" i="1" s="1"/>
  <c r="I39" i="1" l="1"/>
  <c r="Q39" i="1" s="1"/>
  <c r="J38" i="1"/>
  <c r="K38" i="1"/>
  <c r="H36" i="1"/>
  <c r="O36" i="1" s="1"/>
  <c r="J36" i="1"/>
  <c r="I37" i="1"/>
  <c r="Q37" i="1" s="1"/>
  <c r="O38" i="1"/>
  <c r="I38" i="1"/>
  <c r="V30" i="1"/>
  <c r="V92" i="1" s="1"/>
  <c r="G31" i="1"/>
  <c r="I31" i="1" s="1"/>
  <c r="Q31" i="1" s="1"/>
  <c r="G30" i="1"/>
  <c r="H30" i="1" s="1"/>
  <c r="O30" i="1" s="1"/>
  <c r="Q38" i="1" l="1"/>
  <c r="I36" i="1"/>
  <c r="Q36" i="1" s="1"/>
  <c r="X36" i="1" s="1"/>
  <c r="I30" i="1"/>
  <c r="J30" i="1"/>
  <c r="K30" i="1"/>
  <c r="Q30" i="1" l="1"/>
  <c r="X30" i="1" s="1"/>
  <c r="G11" i="1" l="1"/>
  <c r="I11" i="1" s="1"/>
  <c r="Q11" i="1" s="1"/>
  <c r="G10" i="1"/>
  <c r="K10" i="1" s="1"/>
  <c r="E8" i="1"/>
  <c r="G8" i="1" s="1"/>
  <c r="H10" i="1" l="1"/>
  <c r="I10" i="1" s="1"/>
  <c r="K8" i="1"/>
  <c r="K92" i="1" s="1"/>
  <c r="N8" i="1"/>
  <c r="N92" i="1" s="1"/>
  <c r="H8" i="1"/>
  <c r="O8" i="1" s="1"/>
  <c r="J8" i="1"/>
  <c r="J10" i="1"/>
  <c r="N99" i="1" l="1"/>
  <c r="O10" i="1"/>
  <c r="P10" i="1" s="1"/>
  <c r="I8" i="1"/>
  <c r="Q8" i="1" s="1"/>
  <c r="P92" i="1" l="1"/>
  <c r="N101" i="1" s="1"/>
  <c r="O92" i="1"/>
  <c r="Q10" i="1"/>
  <c r="X8" i="1" s="1"/>
  <c r="Q50" i="1" l="1"/>
  <c r="Q92" i="1" s="1"/>
  <c r="X50" i="1" l="1"/>
  <c r="X92" i="1" s="1"/>
  <c r="V93" i="1"/>
  <c r="N100" i="1" s="1"/>
</calcChain>
</file>

<file path=xl/sharedStrings.xml><?xml version="1.0" encoding="utf-8"?>
<sst xmlns="http://schemas.openxmlformats.org/spreadsheetml/2006/main" count="154" uniqueCount="121">
  <si>
    <t>Amount</t>
  </si>
  <si>
    <t>PAYMENT NOTE No.</t>
  </si>
  <si>
    <t>UTR</t>
  </si>
  <si>
    <t>Pump House work</t>
  </si>
  <si>
    <t>Hold Painting and finishing</t>
  </si>
  <si>
    <t>M/s Unique production &amp; construction services</t>
  </si>
  <si>
    <t>Bhurahedi Village Pump House work</t>
  </si>
  <si>
    <t>GST release note</t>
  </si>
  <si>
    <t>21-04-2023 IFT/IFT23111024137/SPUP23/0228/UNIQUE PRODUCTION 163740.00</t>
  </si>
  <si>
    <t>29-05-2023 IFT/IFT23149016399/RIUP23/427/UNIQUE PRODUCTION 33116.00</t>
  </si>
  <si>
    <t>bhurahedi Village Boundary wall work</t>
  </si>
  <si>
    <t>01-06-2023 IFT/IFT23152102341/RIUP23/459/UNIQUE PRODUCTION 28804.00</t>
  </si>
  <si>
    <t>Bhuraheri Village Road Restoration Work</t>
  </si>
  <si>
    <t>RIUP23/1829</t>
  </si>
  <si>
    <t>04-09-2023 IFT/IFT23247026333/RIUP23/1829/UNIQUE PRODUCTION 191192.00</t>
  </si>
  <si>
    <t>GST Release Note</t>
  </si>
  <si>
    <t>RIUP22/2299</t>
  </si>
  <si>
    <t>SPUP23/0280</t>
  </si>
  <si>
    <t>RIUP23/1782</t>
  </si>
  <si>
    <t>Parai Village Pump House work</t>
  </si>
  <si>
    <t>RIUP23/751</t>
  </si>
  <si>
    <t>21-06-2023 IFT/IFT23172005912/RIUP23/751/UNIQUE PRODUCTION 166090.00</t>
  </si>
  <si>
    <t>GST Rlease note</t>
  </si>
  <si>
    <t>RIUP23/1193</t>
  </si>
  <si>
    <t>25-07-2023 IFT/IFT23206056305/RIUP23/1193/UNIQUE PRODUCTION 33591.00</t>
  </si>
  <si>
    <t>RIUP23/1728</t>
  </si>
  <si>
    <t>28-08-2023 IFT/IFT23240044118/RIUP23/1728/UNIQUE PRODUCTION 28620.00</t>
  </si>
  <si>
    <t>RIUP23/1727</t>
  </si>
  <si>
    <t>28-08-2023 IFT/IFT23240044117/RIUP23/1727/UNIQUE PRODUCTION 141510.00</t>
  </si>
  <si>
    <t>Biraheri Village Drilling Work</t>
  </si>
  <si>
    <t>27-09-2023 IFT/IFT23270029215/RIUP23/2319/UNIQUE PRODUCTION 25884.00</t>
  </si>
  <si>
    <t>03-10-2023 IFT/IFT23276086518/RIUP23/2368/UNIQUE PRODUCTION 36611.00</t>
  </si>
  <si>
    <t>Shakarpur Village Pump House work</t>
  </si>
  <si>
    <t>15-06-2023 IFT/IFT23166061032/RIUP23/642/UNIQUE PRODUCTION 160238.00</t>
  </si>
  <si>
    <t>RIUP23/642</t>
  </si>
  <si>
    <t>22-12-2023 IFT/IFT23356043573/RIUP23/3499/UNIQUE PRODUCTION 42620.00</t>
  </si>
  <si>
    <t>20-12-2023 IFT/IFT23354020918/RIUP23/3876/UNIQUE PRODUCTION 90000.00</t>
  </si>
  <si>
    <t>02-11-2023 IFT/IFT23306063094/RIUP23/2881/UNIQUE PRODUCTION 320831.00</t>
  </si>
  <si>
    <t xml:space="preserve">Total Hold </t>
  </si>
  <si>
    <t>Advance / Surplus</t>
  </si>
  <si>
    <t>Debit</t>
  </si>
  <si>
    <t>GST Remaining</t>
  </si>
  <si>
    <t>GST</t>
  </si>
  <si>
    <t>13-03-2024 IFT/IFT24073022900/RIUP23/3603/UNIQUE PRODUCTION 61436.00</t>
  </si>
  <si>
    <t>13-03-2024 IFT/IFT24073022899/RIUP23/4224/UNIQUE PRODUCTION 200897.00</t>
  </si>
  <si>
    <t>31-03-2024 IFT/IFT24091034198/RIUP23/5353/UNIQUE PRODUCTION 18500.00</t>
  </si>
  <si>
    <t>04-03-2024 IFT/IFT24064023547/RIUP23/4925/UNIQUE PRODUCTION 14867.00</t>
  </si>
  <si>
    <t xml:space="preserve">Hold Amount Release </t>
  </si>
  <si>
    <t xml:space="preserve">22-03-2024 IFT/IFT24082070376/RIUP23/4926/UNIQUE PRODUCTION 1800.00
</t>
  </si>
  <si>
    <t>22-03-2024 IFT/IFT24082070377/RIUP23/3500/UNIQUE PRODUCTION 9000.00</t>
  </si>
  <si>
    <t>31-03-2024 IFT/IFT24091034190/RIUP23/4869/UNIQUE PRODUCTION 38470.00</t>
  </si>
  <si>
    <t>25-04-2024 IFT/IFT24116013826/RIUP23/4927/UNIQUE PRODUCTION 20880.00</t>
  </si>
  <si>
    <t>gst</t>
  </si>
  <si>
    <t>06-07-2024 IFT/IFT24188070620/RIUP24/0981/UNIQUE PRODUCTION 340022.00</t>
  </si>
  <si>
    <t>16-07-2024 IFT/IFT24198061771/RIUP24/0988/UNIQUE PRODUCTION 105412.00</t>
  </si>
  <si>
    <t>16-07-2024 IFT/IFT24198061775/RIUP24/1133/UNIQUE PRODUCTION 45780.00</t>
  </si>
  <si>
    <t>Hold Amount For Material/ other</t>
  </si>
  <si>
    <t>14-06-2024 IFT/IFT24166033289/RIUP24/0492/UNIQUE PRODUCTION 200000.00</t>
  </si>
  <si>
    <t>03-08-2024 IFT/IFT24216017342/RIUP24/0935/UNIQUE PRODUCTION 150000.00</t>
  </si>
  <si>
    <t>03-08-2024 IFT/IFT24216017349/RIUP24/1275/UNIQUE PRODUCTION 27915.00</t>
  </si>
  <si>
    <t>03-08-2024 IFT/IFT24216017339/RIUP24/0844/UNIQUE PRODUCTION 51509.00</t>
  </si>
  <si>
    <t>01-10-2024 IFT/IFT24275137118/RIUP24/2017/UNIQUE PRODUCTION 59225.00</t>
  </si>
  <si>
    <t>01-10-2024 IFT/IFT24275137123/RIUP24/1277/UNIQUE PRODUCTION 65111.00</t>
  </si>
  <si>
    <t>01-10-2024 IFT/IFT24275137124/RIUP24/0141/UNIQUE PRODUCTION 42964.00</t>
  </si>
  <si>
    <t>01-10-2024 IFT/IFT24275137119/RIUP24/2018/UNIQUE PRODUCTION 82602.00</t>
  </si>
  <si>
    <t>01-10-2024 IFT/IFT24275137120/RIUP24/1276/UNIQUE PRODUCTION 44541.00</t>
  </si>
  <si>
    <t>01-10-2024 IFT/IFT24275137121/RIUP24/1427/UNIQUE PRODUCTION 99686.00</t>
  </si>
  <si>
    <t>01-10-2024 IFT/IFT24275137122/RIUP24/1498/UNIQUE PRODUCTION 19089.00</t>
  </si>
  <si>
    <t>03-08-2024 IFT/IFT24216017348/RIUP24/1274/UNIQUE PRODUCTION 20185.00</t>
  </si>
  <si>
    <t>18-10-2024 IFT/IFT24292033965/RIUP24/2163/UNIQUE PRODUCTION 371440.00</t>
  </si>
  <si>
    <t>Gst</t>
  </si>
  <si>
    <t>Extra Hold</t>
  </si>
  <si>
    <t>07-12-2024 IFT/IFT24342114028/RIUP24/2514/UNIQUE PRODUCTION 71127.00</t>
  </si>
  <si>
    <t>14-06-2024 IFT/IFT24166033292/RIUP24/0822/UNIQUE PRODUCTION 100000.00</t>
  </si>
  <si>
    <t xml:space="preserve">03-08-2024 IFT/IFT24216017344/RIUP24/0965/UNIQUE PRODUCTION 8227.00 </t>
  </si>
  <si>
    <t>19-04-2023 IFT/IFT23109018500/SPUP23/0139/UNIQUE PRODUCTION 150419.00</t>
  </si>
  <si>
    <t>25-04-2023 IFT/IFT23115009712/SPUP23/0280/UNIQUE PRODUCTION 39960.00</t>
  </si>
  <si>
    <t>24-02-2023 IFT/IFT23055020548/RIUP22/2299/UNIQUE PRODUCTION 197580.00</t>
  </si>
  <si>
    <t>29-08-2023 IFT/IFT23241028672/RIUP23/1782/UNIQUE PRODUCTION  127982.00</t>
  </si>
  <si>
    <t>02-01-2025 IFT/IFT25002052059/RIUP24/2544/UNIQUE PRODUCTION - ₹ 1,00,000.00</t>
  </si>
  <si>
    <t>30-01-2025 IFT/IFT25030057662/RIUP24/2520/UNIQUE PRODUCTION 6300.00</t>
  </si>
  <si>
    <t>02-01-2025 IFT/IFT25002052060/RIUP24/2543/UNIQUE PRODUCTION  100000.00</t>
  </si>
  <si>
    <t>06-03-2025 IFT/IFT25065076782/RIUP24/2831/UNIQUE PRODUCTION 73023.00</t>
  </si>
  <si>
    <t>06-03-2025 IFT/IFT25065076784/RIUP24/2832/UNIQUE PRODUCTION 22075.00</t>
  </si>
  <si>
    <t>12-03-2025 IFT/IFT25071099590/RIUP24/3400/UNIQUE PRODUCTION 200000.00</t>
  </si>
  <si>
    <t>08-04-2025 IFT/IFT25098057991/RIUP25/0054/UNIQUE PRODUCTION 50000.00</t>
  </si>
  <si>
    <t>Subcontractor:</t>
  </si>
  <si>
    <t>State:</t>
  </si>
  <si>
    <t>District:</t>
  </si>
  <si>
    <t>Block:</t>
  </si>
  <si>
    <t>Uttar Pradesh</t>
  </si>
  <si>
    <t>Muzaffarnagar</t>
  </si>
  <si>
    <t xml:space="preserve">RAEE VILLAGE  BOUNDARY WALL WORK </t>
  </si>
  <si>
    <t>Bhojahedi village  - Pump house  work</t>
  </si>
  <si>
    <t xml:space="preserve">Biraheri Village - Electro Logging work </t>
  </si>
  <si>
    <t>NANHERA VILLAGE BOUNDARY WALL CONSTRUCTION WORK</t>
  </si>
  <si>
    <t xml:space="preserve">Rohana Khurd village  - Bal Pipeline work </t>
  </si>
  <si>
    <t>Parai village  - BW work</t>
  </si>
  <si>
    <t>MEGHAKHEDI village BOUNDARY WALL  CONSTRUCTION WORK</t>
  </si>
  <si>
    <t xml:space="preserve">ATHAI village    - BOUNDARY WALL  CONSTRUCTION WORK </t>
  </si>
  <si>
    <t xml:space="preserve">ATHAI village   - BOUNDARY WALL  CONSTRUCTION WORK </t>
  </si>
  <si>
    <t xml:space="preserve">SANDHAWALI village  BLOCK-SADAR BW work </t>
  </si>
  <si>
    <t>BHOJAHEDI village BOUNDARY WALL work   AT VILL-BHOJAHEDI BLOCK - PURKAZI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</si>
  <si>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</si>
  <si>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</si>
  <si>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</si>
  <si>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</si>
  <si>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</si>
  <si>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</si>
  <si>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</si>
  <si>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</si>
  <si>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</si>
  <si>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</si>
  <si>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</si>
  <si>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</si>
  <si>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</si>
  <si>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</si>
  <si>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</si>
  <si>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</si>
  <si>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</si>
  <si>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BHIKKI Village - WSM-MUZAFFARNAGAR- BOUNDARY WALL CONSTRUCTION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</si>
</sst>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sz val="11"/>
      <color rgb="FF333333"/>
      <name val="Verdana"/>
      <family val="2"/>
    </font>
    <font>
      <sz val="11"/>
      <name val="Comic Sans MS"/>
      <family val="4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sz val="9"/>
      <color rgb="FF333333"/>
      <name val="Verdana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omic Sans MS"/>
      <family val="4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4" fontId="3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2" borderId="7" xfId="0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9" fontId="5" fillId="2" borderId="7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43" fontId="5" fillId="3" borderId="4" xfId="1" applyNumberFormat="1" applyFont="1" applyFill="1" applyBorder="1" applyAlignment="1">
      <alignment vertical="center"/>
    </xf>
    <xf numFmtId="9" fontId="5" fillId="3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15" fontId="5" fillId="2" borderId="6" xfId="0" applyNumberFormat="1" applyFont="1" applyFill="1" applyBorder="1" applyAlignment="1">
      <alignment horizontal="center" vertical="center"/>
    </xf>
    <xf numFmtId="0" fontId="5" fillId="2" borderId="6" xfId="0" quotePrefix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vertical="center"/>
    </xf>
    <xf numFmtId="43" fontId="8" fillId="5" borderId="6" xfId="1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9" fillId="0" borderId="6" xfId="0" applyFont="1" applyBorder="1"/>
    <xf numFmtId="0" fontId="0" fillId="3" borderId="6" xfId="0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15" fontId="5" fillId="3" borderId="6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43" fontId="5" fillId="3" borderId="6" xfId="1" applyNumberFormat="1" applyFont="1" applyFill="1" applyBorder="1" applyAlignment="1">
      <alignment vertical="center"/>
    </xf>
    <xf numFmtId="0" fontId="5" fillId="3" borderId="6" xfId="0" quotePrefix="1" applyFont="1" applyFill="1" applyBorder="1" applyAlignment="1">
      <alignment horizontal="center" vertical="center"/>
    </xf>
    <xf numFmtId="0" fontId="0" fillId="0" borderId="6" xfId="0" applyBorder="1" applyAlignment="1">
      <alignment vertical="center" wrapText="1"/>
    </xf>
    <xf numFmtId="0" fontId="0" fillId="2" borderId="8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14" fontId="5" fillId="2" borderId="8" xfId="0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horizontal="right" vertical="center"/>
    </xf>
    <xf numFmtId="0" fontId="6" fillId="2" borderId="8" xfId="0" applyFont="1" applyFill="1" applyBorder="1" applyAlignment="1">
      <alignment horizontal="center" vertical="center" wrapText="1"/>
    </xf>
    <xf numFmtId="43" fontId="5" fillId="2" borderId="8" xfId="1" applyNumberFormat="1" applyFont="1" applyFill="1" applyBorder="1" applyAlignment="1">
      <alignment vertical="center"/>
    </xf>
    <xf numFmtId="43" fontId="8" fillId="5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10" fillId="0" borderId="8" xfId="1" applyNumberFormat="1" applyFont="1" applyFill="1" applyBorder="1" applyAlignment="1">
      <alignment vertical="center"/>
    </xf>
    <xf numFmtId="43" fontId="8" fillId="0" borderId="8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6" fillId="2" borderId="11" xfId="1" applyNumberFormat="1" applyFont="1" applyFill="1" applyBorder="1" applyAlignment="1">
      <alignment vertical="center"/>
    </xf>
    <xf numFmtId="43" fontId="6" fillId="2" borderId="11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horizontal="center" vertical="center"/>
    </xf>
    <xf numFmtId="43" fontId="6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43" fontId="11" fillId="2" borderId="0" xfId="1" applyNumberFormat="1" applyFont="1" applyFill="1" applyBorder="1" applyAlignment="1">
      <alignment vertical="center"/>
    </xf>
    <xf numFmtId="43" fontId="12" fillId="2" borderId="0" xfId="1" applyNumberFormat="1" applyFont="1" applyFill="1" applyBorder="1" applyAlignment="1">
      <alignment horizontal="center" vertical="center"/>
    </xf>
    <xf numFmtId="43" fontId="11" fillId="2" borderId="0" xfId="1" applyNumberFormat="1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horizontal="center" vertical="center"/>
    </xf>
    <xf numFmtId="43" fontId="5" fillId="3" borderId="6" xfId="1" applyNumberFormat="1" applyFont="1" applyFill="1" applyBorder="1" applyAlignment="1">
      <alignment horizontal="center" vertical="center"/>
    </xf>
    <xf numFmtId="0" fontId="13" fillId="0" borderId="0" xfId="0" applyFont="1"/>
    <xf numFmtId="0" fontId="3" fillId="0" borderId="0" xfId="0" applyFont="1"/>
    <xf numFmtId="0" fontId="0" fillId="0" borderId="0" xfId="0" applyFont="1"/>
    <xf numFmtId="0" fontId="14" fillId="2" borderId="8" xfId="0" applyFont="1" applyFill="1" applyBorder="1" applyAlignment="1">
      <alignment vertical="center"/>
    </xf>
    <xf numFmtId="0" fontId="8" fillId="2" borderId="8" xfId="0" applyFont="1" applyFill="1" applyBorder="1" applyAlignment="1">
      <alignment horizontal="center" vertical="center" wrapText="1"/>
    </xf>
    <xf numFmtId="14" fontId="8" fillId="2" borderId="8" xfId="0" applyNumberFormat="1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43" fontId="8" fillId="2" borderId="8" xfId="1" applyNumberFormat="1" applyFont="1" applyFill="1" applyBorder="1" applyAlignment="1">
      <alignment horizontal="right" vertical="center"/>
    </xf>
    <xf numFmtId="43" fontId="8" fillId="2" borderId="6" xfId="1" applyNumberFormat="1" applyFont="1" applyFill="1" applyBorder="1" applyAlignment="1">
      <alignment vertical="center"/>
    </xf>
    <xf numFmtId="0" fontId="15" fillId="2" borderId="8" xfId="0" applyFont="1" applyFill="1" applyBorder="1" applyAlignment="1">
      <alignment horizontal="center" vertical="center" wrapText="1"/>
    </xf>
    <xf numFmtId="43" fontId="8" fillId="2" borderId="8" xfId="1" applyNumberFormat="1" applyFont="1" applyFill="1" applyBorder="1" applyAlignment="1">
      <alignment vertical="center"/>
    </xf>
    <xf numFmtId="0" fontId="14" fillId="0" borderId="6" xfId="0" applyFont="1" applyBorder="1" applyAlignment="1">
      <alignment vertical="center"/>
    </xf>
    <xf numFmtId="0" fontId="14" fillId="2" borderId="0" xfId="0" applyFont="1" applyFill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14" fontId="3" fillId="2" borderId="11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43" fontId="16" fillId="2" borderId="11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/>
    </xf>
    <xf numFmtId="4" fontId="3" fillId="2" borderId="10" xfId="0" applyNumberFormat="1" applyFont="1" applyFill="1" applyBorder="1" applyAlignment="1">
      <alignment horizontal="center" vertical="center"/>
    </xf>
    <xf numFmtId="4" fontId="3" fillId="2" borderId="12" xfId="0" applyNumberFormat="1" applyFont="1" applyFill="1" applyBorder="1" applyAlignment="1">
      <alignment horizontal="center" vertical="center"/>
    </xf>
    <xf numFmtId="4" fontId="3" fillId="2" borderId="13" xfId="0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center" vertical="center"/>
    </xf>
    <xf numFmtId="14" fontId="3" fillId="2" borderId="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BM103"/>
  <sheetViews>
    <sheetView tabSelected="1" zoomScale="85" zoomScaleNormal="85" workbookViewId="0">
      <pane ySplit="5" topLeftCell="A75" activePane="bottomLeft" state="frozen"/>
      <selection pane="bottomLeft" activeCell="B74" sqref="B74"/>
    </sheetView>
  </sheetViews>
  <sheetFormatPr defaultColWidth="9" defaultRowHeight="15" x14ac:dyDescent="0.25"/>
  <cols>
    <col min="1" max="1" width="9.140625" style="9" bestFit="1" customWidth="1"/>
    <col min="2" max="2" width="36.85546875" style="9" customWidth="1"/>
    <col min="3" max="3" width="14" style="9" bestFit="1" customWidth="1"/>
    <col min="4" max="4" width="16.7109375" style="9" customWidth="1"/>
    <col min="5" max="5" width="15.28515625" style="9" customWidth="1"/>
    <col min="6" max="6" width="13.28515625" style="9" customWidth="1"/>
    <col min="7" max="7" width="14.42578125" style="9" customWidth="1"/>
    <col min="8" max="8" width="14.7109375" style="3" customWidth="1"/>
    <col min="9" max="9" width="15.42578125" style="3" customWidth="1"/>
    <col min="10" max="10" width="11.140625" style="9" bestFit="1" customWidth="1"/>
    <col min="11" max="11" width="17.7109375" style="9" customWidth="1"/>
    <col min="12" max="13" width="14" style="9" customWidth="1"/>
    <col min="14" max="14" width="14.140625" style="9" customWidth="1"/>
    <col min="15" max="15" width="16.28515625" style="9" customWidth="1"/>
    <col min="16" max="16" width="16.7109375" style="9" bestFit="1" customWidth="1"/>
    <col min="17" max="17" width="18.140625" style="9" bestFit="1" customWidth="1"/>
    <col min="18" max="18" width="21.5703125" style="4" customWidth="1"/>
    <col min="19" max="19" width="18" style="9" customWidth="1"/>
    <col min="20" max="20" width="33.42578125" style="9" customWidth="1"/>
    <col min="21" max="21" width="14" style="9" customWidth="1"/>
    <col min="22" max="22" width="18.140625" style="9" bestFit="1" customWidth="1"/>
    <col min="23" max="23" width="77" style="9" bestFit="1" customWidth="1"/>
    <col min="24" max="24" width="16.7109375" style="9" bestFit="1" customWidth="1"/>
    <col min="25" max="16384" width="9" style="9"/>
  </cols>
  <sheetData>
    <row r="1" spans="1:65" ht="18.75" x14ac:dyDescent="0.25">
      <c r="A1" s="70" t="s">
        <v>86</v>
      </c>
      <c r="B1" s="59" t="s">
        <v>5</v>
      </c>
      <c r="C1" s="60"/>
      <c r="D1" s="60"/>
      <c r="E1" s="61"/>
      <c r="F1" s="61"/>
      <c r="G1" s="61"/>
      <c r="H1" s="62"/>
      <c r="I1" s="1"/>
    </row>
    <row r="2" spans="1:65" ht="21" x14ac:dyDescent="0.25">
      <c r="A2" s="70" t="s">
        <v>87</v>
      </c>
      <c r="B2" s="71" t="s">
        <v>90</v>
      </c>
      <c r="C2" s="2"/>
      <c r="D2" s="2" t="s">
        <v>5</v>
      </c>
      <c r="E2" s="60"/>
      <c r="F2" s="60"/>
      <c r="H2" s="64"/>
      <c r="I2" s="10"/>
      <c r="J2" s="63" t="s">
        <v>3</v>
      </c>
      <c r="K2" s="11"/>
      <c r="L2" s="11"/>
      <c r="M2" s="11"/>
      <c r="N2" s="11"/>
      <c r="O2" s="11"/>
      <c r="P2" s="11"/>
      <c r="Q2" s="11"/>
      <c r="R2" s="12"/>
      <c r="S2" s="11"/>
      <c r="T2" s="11"/>
      <c r="U2" s="11"/>
    </row>
    <row r="3" spans="1:65" ht="21.75" thickBot="1" x14ac:dyDescent="0.3">
      <c r="A3" s="70" t="s">
        <v>88</v>
      </c>
      <c r="B3" s="71" t="s">
        <v>91</v>
      </c>
      <c r="C3" s="2"/>
      <c r="D3" s="2"/>
      <c r="E3" s="60"/>
      <c r="F3" s="60"/>
      <c r="H3" s="64"/>
      <c r="I3" s="10"/>
      <c r="J3" s="63"/>
      <c r="K3" s="11"/>
      <c r="L3" s="11"/>
      <c r="M3" s="11"/>
      <c r="N3" s="11"/>
      <c r="O3" s="11"/>
      <c r="P3" s="11"/>
      <c r="Q3" s="11"/>
      <c r="R3" s="12"/>
      <c r="S3" s="11"/>
      <c r="T3" s="11"/>
      <c r="U3" s="11"/>
    </row>
    <row r="4" spans="1:65" ht="18.75" thickBot="1" x14ac:dyDescent="0.3">
      <c r="A4" s="70" t="s">
        <v>89</v>
      </c>
      <c r="B4" s="71" t="s">
        <v>91</v>
      </c>
      <c r="C4" s="13"/>
      <c r="D4" s="13"/>
      <c r="E4" s="13"/>
      <c r="F4" s="11"/>
      <c r="G4" s="11"/>
      <c r="H4" s="14"/>
      <c r="I4" s="14"/>
      <c r="J4" s="11"/>
      <c r="K4" s="11"/>
      <c r="L4" s="11"/>
      <c r="M4" s="11"/>
      <c r="N4" s="11"/>
      <c r="R4" s="8"/>
      <c r="S4" s="11"/>
      <c r="T4" s="15"/>
      <c r="U4" s="15"/>
      <c r="V4" s="15"/>
      <c r="W4" s="15"/>
      <c r="X4" s="15"/>
    </row>
    <row r="5" spans="1:65" s="17" customFormat="1" ht="54" x14ac:dyDescent="0.25">
      <c r="A5" s="82" t="s">
        <v>103</v>
      </c>
      <c r="B5" s="83" t="s">
        <v>104</v>
      </c>
      <c r="C5" s="84" t="s">
        <v>105</v>
      </c>
      <c r="D5" s="85" t="s">
        <v>106</v>
      </c>
      <c r="E5" s="83" t="s">
        <v>107</v>
      </c>
      <c r="F5" s="83" t="s">
        <v>108</v>
      </c>
      <c r="G5" s="85" t="s">
        <v>109</v>
      </c>
      <c r="H5" s="86" t="s">
        <v>110</v>
      </c>
      <c r="I5" s="87" t="s">
        <v>0</v>
      </c>
      <c r="J5" s="83" t="s">
        <v>111</v>
      </c>
      <c r="K5" s="83" t="s">
        <v>112</v>
      </c>
      <c r="L5" s="83" t="s">
        <v>113</v>
      </c>
      <c r="M5" s="83" t="s">
        <v>114</v>
      </c>
      <c r="N5" s="16" t="s">
        <v>4</v>
      </c>
      <c r="O5" s="16" t="s">
        <v>115</v>
      </c>
      <c r="P5" s="16" t="s">
        <v>56</v>
      </c>
      <c r="Q5" s="16" t="s">
        <v>116</v>
      </c>
      <c r="R5" s="16"/>
      <c r="S5" s="16" t="s">
        <v>1</v>
      </c>
      <c r="T5" s="83" t="s">
        <v>117</v>
      </c>
      <c r="U5" s="83" t="s">
        <v>118</v>
      </c>
      <c r="V5" s="83" t="s">
        <v>119</v>
      </c>
      <c r="W5" s="83" t="s">
        <v>2</v>
      </c>
      <c r="X5" s="16"/>
    </row>
    <row r="6" spans="1:65" ht="18.75" thickBot="1" x14ac:dyDescent="0.3">
      <c r="A6" s="18"/>
      <c r="B6" s="19"/>
      <c r="C6" s="19"/>
      <c r="D6" s="19"/>
      <c r="E6" s="19"/>
      <c r="F6" s="19"/>
      <c r="G6" s="19"/>
      <c r="H6" s="20">
        <v>0.18</v>
      </c>
      <c r="I6" s="19"/>
      <c r="J6" s="20">
        <v>0.01</v>
      </c>
      <c r="K6" s="20">
        <v>0.05</v>
      </c>
      <c r="L6" s="20">
        <v>0.1</v>
      </c>
      <c r="M6" s="20">
        <v>0.1</v>
      </c>
      <c r="N6" s="20">
        <v>0.05</v>
      </c>
      <c r="O6" s="20">
        <v>0.18</v>
      </c>
      <c r="P6" s="20"/>
      <c r="Q6" s="19"/>
      <c r="R6" s="21"/>
      <c r="S6" s="19"/>
      <c r="T6" s="19"/>
      <c r="U6" s="20">
        <v>0.01</v>
      </c>
      <c r="V6" s="19"/>
      <c r="W6" s="19"/>
      <c r="X6" s="19"/>
    </row>
    <row r="7" spans="1:65" s="25" customFormat="1" ht="16.5" x14ac:dyDescent="0.25">
      <c r="A7" s="22"/>
      <c r="B7" s="23"/>
      <c r="C7" s="23"/>
      <c r="D7" s="23"/>
      <c r="E7" s="23"/>
      <c r="F7" s="23"/>
      <c r="G7" s="23"/>
      <c r="H7" s="24"/>
      <c r="I7" s="23"/>
      <c r="J7" s="24"/>
      <c r="K7" s="24"/>
      <c r="L7" s="24"/>
      <c r="M7" s="24"/>
      <c r="N7" s="24"/>
      <c r="O7" s="24"/>
      <c r="P7" s="24"/>
      <c r="Q7" s="23"/>
      <c r="R7" s="7">
        <f>A8</f>
        <v>55034</v>
      </c>
      <c r="S7" s="23"/>
      <c r="T7" s="23"/>
      <c r="U7" s="24"/>
      <c r="V7" s="23"/>
      <c r="W7" s="23"/>
      <c r="X7" s="23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</row>
    <row r="8" spans="1:65" ht="33" x14ac:dyDescent="0.25">
      <c r="A8" s="26">
        <v>55034</v>
      </c>
      <c r="B8" s="27" t="s">
        <v>6</v>
      </c>
      <c r="C8" s="28">
        <v>44963</v>
      </c>
      <c r="D8" s="29">
        <v>1</v>
      </c>
      <c r="E8" s="30">
        <f>370000*60%</f>
        <v>222000</v>
      </c>
      <c r="F8" s="30">
        <v>0</v>
      </c>
      <c r="G8" s="30">
        <f>ROUND(E8-F8,0)</f>
        <v>222000</v>
      </c>
      <c r="H8" s="30">
        <f>ROUND(G8*H6,0)</f>
        <v>39960</v>
      </c>
      <c r="I8" s="30">
        <f>G8+H8</f>
        <v>261960</v>
      </c>
      <c r="J8" s="30">
        <f>G8*$J$6</f>
        <v>2220</v>
      </c>
      <c r="K8" s="30">
        <f>G8*$K$6</f>
        <v>11100</v>
      </c>
      <c r="L8" s="30"/>
      <c r="M8" s="30"/>
      <c r="N8" s="30">
        <f>G8*N6</f>
        <v>11100</v>
      </c>
      <c r="O8" s="31">
        <f>H8</f>
        <v>39960</v>
      </c>
      <c r="P8" s="30"/>
      <c r="Q8" s="30">
        <f>ROUND(I8-SUM(J8:P8),0)</f>
        <v>197580</v>
      </c>
      <c r="R8" s="32"/>
      <c r="S8" s="30" t="s">
        <v>16</v>
      </c>
      <c r="T8" s="30">
        <v>197580</v>
      </c>
      <c r="U8" s="30"/>
      <c r="V8" s="30">
        <f>T8-U8</f>
        <v>197580</v>
      </c>
      <c r="W8" s="33" t="s">
        <v>77</v>
      </c>
      <c r="X8" s="30">
        <f>SUM(Q8:Q12,0)-SUM(V8:V12,0)</f>
        <v>0</v>
      </c>
    </row>
    <row r="9" spans="1:65" ht="18" x14ac:dyDescent="0.25">
      <c r="A9" s="26">
        <v>55034</v>
      </c>
      <c r="B9" s="27" t="s">
        <v>7</v>
      </c>
      <c r="C9" s="28">
        <v>45016</v>
      </c>
      <c r="D9" s="34">
        <v>1</v>
      </c>
      <c r="E9" s="30">
        <v>39960</v>
      </c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1">
        <v>39960</v>
      </c>
      <c r="R9" s="32"/>
      <c r="S9" s="30" t="s">
        <v>17</v>
      </c>
      <c r="T9" s="30">
        <v>39960</v>
      </c>
      <c r="U9" s="30"/>
      <c r="V9" s="30">
        <f t="shared" ref="V9:V10" si="0">T9-U9</f>
        <v>39960</v>
      </c>
      <c r="W9" s="33" t="s">
        <v>76</v>
      </c>
      <c r="X9" s="30"/>
    </row>
    <row r="10" spans="1:65" ht="33" x14ac:dyDescent="0.25">
      <c r="A10" s="26">
        <v>55034</v>
      </c>
      <c r="B10" s="27" t="s">
        <v>6</v>
      </c>
      <c r="C10" s="28">
        <v>45141</v>
      </c>
      <c r="D10" s="29">
        <v>5</v>
      </c>
      <c r="E10" s="30">
        <v>159000</v>
      </c>
      <c r="F10" s="30">
        <v>15200</v>
      </c>
      <c r="G10" s="30">
        <f>ROUND(E10-F10,0)</f>
        <v>143800</v>
      </c>
      <c r="H10" s="30">
        <f>ROUND(G10*H6,0)</f>
        <v>25884</v>
      </c>
      <c r="I10" s="30">
        <f>G10+H10</f>
        <v>169684</v>
      </c>
      <c r="J10" s="30">
        <f>ROUND(G10*J6,0)</f>
        <v>1438</v>
      </c>
      <c r="K10" s="30">
        <f>ROUND(G10*10%,0)</f>
        <v>14380</v>
      </c>
      <c r="L10" s="30"/>
      <c r="M10" s="30"/>
      <c r="N10" s="30">
        <v>0</v>
      </c>
      <c r="O10" s="31">
        <f>H10</f>
        <v>25884</v>
      </c>
      <c r="P10" s="30">
        <f t="shared" ref="P10" si="1">ROUND(O10*P6,0)</f>
        <v>0</v>
      </c>
      <c r="Q10" s="30">
        <f>ROUND(I10-SUM(J10:P10),0)</f>
        <v>127982</v>
      </c>
      <c r="R10" s="32"/>
      <c r="S10" s="30" t="s">
        <v>18</v>
      </c>
      <c r="T10" s="30">
        <v>127982</v>
      </c>
      <c r="U10" s="30">
        <v>0</v>
      </c>
      <c r="V10" s="30">
        <f t="shared" si="0"/>
        <v>127982</v>
      </c>
      <c r="W10" s="33" t="s">
        <v>78</v>
      </c>
      <c r="X10" s="30"/>
    </row>
    <row r="11" spans="1:65" ht="18" x14ac:dyDescent="0.25">
      <c r="A11" s="26">
        <v>55034</v>
      </c>
      <c r="B11" s="27" t="s">
        <v>7</v>
      </c>
      <c r="C11" s="28">
        <v>45192</v>
      </c>
      <c r="D11" s="34">
        <v>5</v>
      </c>
      <c r="E11" s="30">
        <v>25884</v>
      </c>
      <c r="F11" s="30"/>
      <c r="G11" s="30">
        <f>ROUND(E11-F11,0)</f>
        <v>25884</v>
      </c>
      <c r="H11" s="30"/>
      <c r="I11" s="30">
        <f>G11+H11</f>
        <v>25884</v>
      </c>
      <c r="J11" s="30"/>
      <c r="K11" s="30"/>
      <c r="L11" s="30"/>
      <c r="M11" s="30"/>
      <c r="N11" s="30"/>
      <c r="O11" s="30"/>
      <c r="P11" s="30"/>
      <c r="Q11" s="31">
        <f>ROUND(I11-SUM(J11:P11),0)</f>
        <v>25884</v>
      </c>
      <c r="R11" s="32"/>
      <c r="S11" s="30"/>
      <c r="T11" s="30"/>
      <c r="U11" s="30"/>
      <c r="V11" s="30">
        <v>25884</v>
      </c>
      <c r="W11" s="33" t="s">
        <v>30</v>
      </c>
      <c r="X11" s="30"/>
    </row>
    <row r="12" spans="1:65" ht="18" x14ac:dyDescent="0.2">
      <c r="A12" s="26">
        <v>55034</v>
      </c>
      <c r="B12" s="27"/>
      <c r="C12" s="28"/>
      <c r="D12" s="34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2"/>
      <c r="S12" s="30"/>
      <c r="T12" s="30"/>
      <c r="U12" s="30"/>
      <c r="V12" s="30"/>
      <c r="W12" s="35"/>
      <c r="X12" s="30"/>
    </row>
    <row r="13" spans="1:65" ht="16.5" x14ac:dyDescent="0.25">
      <c r="A13" s="22"/>
      <c r="B13" s="23"/>
      <c r="C13" s="23"/>
      <c r="D13" s="23"/>
      <c r="E13" s="23"/>
      <c r="F13" s="23"/>
      <c r="G13" s="23"/>
      <c r="H13" s="24"/>
      <c r="I13" s="23"/>
      <c r="J13" s="24"/>
      <c r="K13" s="24"/>
      <c r="L13" s="24"/>
      <c r="M13" s="24"/>
      <c r="N13" s="24"/>
      <c r="O13" s="24"/>
      <c r="P13" s="24"/>
      <c r="Q13" s="23"/>
      <c r="R13" s="7">
        <f>A14</f>
        <v>55189</v>
      </c>
      <c r="S13" s="23"/>
      <c r="T13" s="23"/>
      <c r="U13" s="24"/>
      <c r="V13" s="23"/>
      <c r="W13" s="23"/>
      <c r="X13" s="23"/>
    </row>
    <row r="14" spans="1:65" s="25" customFormat="1" ht="33" x14ac:dyDescent="0.25">
      <c r="A14" s="26">
        <v>55189</v>
      </c>
      <c r="B14" s="27" t="s">
        <v>92</v>
      </c>
      <c r="C14" s="28">
        <v>45605</v>
      </c>
      <c r="D14" s="29">
        <v>13</v>
      </c>
      <c r="E14" s="30">
        <v>405685</v>
      </c>
      <c r="F14" s="30">
        <v>0</v>
      </c>
      <c r="G14" s="30">
        <f>ROUND(E14-F14,0)</f>
        <v>405685</v>
      </c>
      <c r="H14" s="30">
        <f>ROUND(G14*H6,0)</f>
        <v>73023</v>
      </c>
      <c r="I14" s="30">
        <f>G14+H14</f>
        <v>478708</v>
      </c>
      <c r="J14" s="30">
        <f>G14*$J$6</f>
        <v>4056.85</v>
      </c>
      <c r="K14" s="30">
        <f>G14*$K$6</f>
        <v>20284.25</v>
      </c>
      <c r="L14" s="30"/>
      <c r="M14" s="30"/>
      <c r="N14" s="30">
        <f>G14*N12</f>
        <v>0</v>
      </c>
      <c r="O14" s="31">
        <f>H14</f>
        <v>73023</v>
      </c>
      <c r="P14" s="30"/>
      <c r="Q14" s="30">
        <f>ROUND(I14-SUM(J14:P14),0)</f>
        <v>381344</v>
      </c>
      <c r="R14" s="32"/>
      <c r="S14" s="30" t="s">
        <v>16</v>
      </c>
      <c r="T14" s="30">
        <v>197580</v>
      </c>
      <c r="U14" s="30"/>
      <c r="V14" s="30">
        <v>100000</v>
      </c>
      <c r="W14" s="33" t="s">
        <v>79</v>
      </c>
      <c r="X14" s="30">
        <f>SUM(Q14:Q17,0)-SUM(V14:V17,0)</f>
        <v>31344</v>
      </c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</row>
    <row r="15" spans="1:65" ht="18" x14ac:dyDescent="0.25">
      <c r="A15" s="26">
        <v>55189</v>
      </c>
      <c r="B15" s="27" t="s">
        <v>7</v>
      </c>
      <c r="C15" s="28">
        <v>45073</v>
      </c>
      <c r="D15" s="34">
        <v>13</v>
      </c>
      <c r="E15" s="30">
        <f>O14</f>
        <v>73023</v>
      </c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1">
        <f>E15</f>
        <v>73023</v>
      </c>
      <c r="R15" s="32"/>
      <c r="S15" s="30" t="s">
        <v>17</v>
      </c>
      <c r="T15" s="30">
        <v>39960</v>
      </c>
      <c r="U15" s="30"/>
      <c r="V15" s="30">
        <v>73023</v>
      </c>
      <c r="W15" s="33" t="s">
        <v>82</v>
      </c>
      <c r="X15" s="30"/>
    </row>
    <row r="16" spans="1:65" ht="18" x14ac:dyDescent="0.25">
      <c r="A16" s="26">
        <v>55189</v>
      </c>
      <c r="B16" s="27"/>
      <c r="C16" s="28"/>
      <c r="D16" s="34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2"/>
      <c r="S16" s="30"/>
      <c r="T16" s="30"/>
      <c r="U16" s="30"/>
      <c r="V16" s="30">
        <v>200000</v>
      </c>
      <c r="W16" s="33" t="s">
        <v>84</v>
      </c>
      <c r="X16" s="30"/>
    </row>
    <row r="17" spans="1:65" ht="18" x14ac:dyDescent="0.15">
      <c r="A17" s="26">
        <v>55189</v>
      </c>
      <c r="B17" s="27"/>
      <c r="C17" s="28"/>
      <c r="D17" s="34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2"/>
      <c r="S17" s="30"/>
      <c r="T17" s="30"/>
      <c r="U17" s="30"/>
      <c r="V17" s="30">
        <v>50000</v>
      </c>
      <c r="W17" s="69" t="s">
        <v>85</v>
      </c>
      <c r="X17" s="30"/>
    </row>
    <row r="18" spans="1:65" ht="16.5" x14ac:dyDescent="0.25">
      <c r="A18" s="36"/>
      <c r="B18" s="37"/>
      <c r="C18" s="38"/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5">
        <f>A19</f>
        <v>56205</v>
      </c>
      <c r="S18" s="40"/>
      <c r="T18" s="40"/>
      <c r="U18" s="40"/>
      <c r="V18" s="40"/>
      <c r="W18" s="36"/>
      <c r="X18" s="40"/>
    </row>
    <row r="19" spans="1:65" ht="33" x14ac:dyDescent="0.25">
      <c r="A19" s="26">
        <v>56205</v>
      </c>
      <c r="B19" s="27" t="s">
        <v>93</v>
      </c>
      <c r="C19" s="28">
        <v>45015</v>
      </c>
      <c r="D19" s="34">
        <v>1</v>
      </c>
      <c r="E19" s="30">
        <v>222000</v>
      </c>
      <c r="F19" s="30">
        <v>38022</v>
      </c>
      <c r="G19" s="30">
        <v>183978</v>
      </c>
      <c r="H19" s="30">
        <v>33116.04</v>
      </c>
      <c r="I19" s="30">
        <v>217094.04</v>
      </c>
      <c r="J19" s="30">
        <v>1839.78</v>
      </c>
      <c r="K19" s="30">
        <v>18397.8</v>
      </c>
      <c r="L19" s="30"/>
      <c r="M19" s="30"/>
      <c r="N19" s="30"/>
      <c r="O19" s="31">
        <v>33116.04</v>
      </c>
      <c r="P19" s="30"/>
      <c r="Q19" s="30">
        <v>163740.42000000001</v>
      </c>
      <c r="R19" s="32"/>
      <c r="S19" s="30"/>
      <c r="T19" s="30"/>
      <c r="U19" s="30"/>
      <c r="V19" s="30">
        <v>163740</v>
      </c>
      <c r="W19" s="33" t="s">
        <v>8</v>
      </c>
      <c r="X19" s="30">
        <f>SUM(Q19:Q22,0)-SUM(V19:V22,0)</f>
        <v>0.42000000001280569</v>
      </c>
    </row>
    <row r="20" spans="1:65" s="25" customFormat="1" ht="18" x14ac:dyDescent="0.25">
      <c r="A20" s="26">
        <v>56205</v>
      </c>
      <c r="B20" s="27" t="s">
        <v>7</v>
      </c>
      <c r="C20" s="28">
        <v>45073</v>
      </c>
      <c r="D20" s="34">
        <v>1</v>
      </c>
      <c r="E20" s="30">
        <v>33116</v>
      </c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1">
        <v>33116</v>
      </c>
      <c r="R20" s="32"/>
      <c r="S20" s="30"/>
      <c r="T20" s="30"/>
      <c r="U20" s="30"/>
      <c r="V20" s="30">
        <v>33116</v>
      </c>
      <c r="W20" s="33" t="s">
        <v>9</v>
      </c>
      <c r="X20" s="30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</row>
    <row r="21" spans="1:65" ht="18" x14ac:dyDescent="0.25">
      <c r="A21" s="26">
        <v>56205</v>
      </c>
      <c r="B21" s="27"/>
      <c r="C21" s="28"/>
      <c r="D21" s="34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2"/>
      <c r="S21" s="30"/>
      <c r="T21" s="30"/>
      <c r="U21" s="30"/>
      <c r="V21" s="30"/>
      <c r="W21" s="33"/>
      <c r="X21" s="30"/>
    </row>
    <row r="22" spans="1:65" ht="18" x14ac:dyDescent="0.25">
      <c r="A22" s="26">
        <v>56205</v>
      </c>
      <c r="B22" s="27"/>
      <c r="C22" s="28"/>
      <c r="D22" s="34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2"/>
      <c r="S22" s="30"/>
      <c r="T22" s="30"/>
      <c r="U22" s="30"/>
      <c r="V22" s="30"/>
      <c r="W22" s="33"/>
      <c r="X22" s="30"/>
    </row>
    <row r="23" spans="1:65" ht="16.5" x14ac:dyDescent="0.25">
      <c r="A23" s="36"/>
      <c r="B23" s="37"/>
      <c r="C23" s="38"/>
      <c r="D23" s="39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5">
        <f>A24</f>
        <v>56471</v>
      </c>
      <c r="S23" s="40"/>
      <c r="T23" s="40"/>
      <c r="U23" s="40"/>
      <c r="V23" s="40"/>
      <c r="W23" s="36"/>
      <c r="X23" s="40"/>
    </row>
    <row r="24" spans="1:65" ht="33" x14ac:dyDescent="0.25">
      <c r="A24" s="26">
        <v>56471</v>
      </c>
      <c r="B24" s="27" t="s">
        <v>10</v>
      </c>
      <c r="C24" s="28">
        <v>45027</v>
      </c>
      <c r="D24" s="34">
        <v>1</v>
      </c>
      <c r="E24" s="30">
        <v>160020</v>
      </c>
      <c r="F24" s="30">
        <v>0</v>
      </c>
      <c r="G24" s="30">
        <v>160020</v>
      </c>
      <c r="H24" s="30">
        <v>28804</v>
      </c>
      <c r="I24" s="30">
        <v>188824</v>
      </c>
      <c r="J24" s="30">
        <v>1600</v>
      </c>
      <c r="K24" s="30">
        <v>8001</v>
      </c>
      <c r="L24" s="30"/>
      <c r="M24" s="30"/>
      <c r="N24" s="30">
        <v>0</v>
      </c>
      <c r="O24" s="31">
        <f>H24</f>
        <v>28804</v>
      </c>
      <c r="P24" s="30">
        <v>0</v>
      </c>
      <c r="Q24" s="30">
        <f>ROUND(I24-SUM(J24:O24),0)</f>
        <v>150419</v>
      </c>
      <c r="R24" s="32"/>
      <c r="S24" s="30"/>
      <c r="T24" s="30"/>
      <c r="U24" s="30"/>
      <c r="V24" s="30">
        <v>150419</v>
      </c>
      <c r="W24" s="33" t="s">
        <v>75</v>
      </c>
      <c r="X24" s="30">
        <f>SUM(Q24:Q28,0)-SUM(V24:V28,0)</f>
        <v>0.20000000001164153</v>
      </c>
    </row>
    <row r="25" spans="1:65" ht="18" x14ac:dyDescent="0.25">
      <c r="A25" s="26">
        <v>56471</v>
      </c>
      <c r="B25" s="27" t="s">
        <v>7</v>
      </c>
      <c r="C25" s="28">
        <v>45077</v>
      </c>
      <c r="D25" s="34">
        <v>1</v>
      </c>
      <c r="E25" s="30">
        <v>28804</v>
      </c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1">
        <f>O24</f>
        <v>28804</v>
      </c>
      <c r="R25" s="32"/>
      <c r="S25" s="30"/>
      <c r="T25" s="30"/>
      <c r="U25" s="30"/>
      <c r="V25" s="30">
        <v>28804</v>
      </c>
      <c r="W25" s="33" t="s">
        <v>11</v>
      </c>
      <c r="X25" s="30"/>
    </row>
    <row r="26" spans="1:65" s="25" customFormat="1" ht="33" x14ac:dyDescent="0.25">
      <c r="A26" s="26">
        <v>56471</v>
      </c>
      <c r="B26" s="27" t="s">
        <v>10</v>
      </c>
      <c r="C26" s="28">
        <v>45084</v>
      </c>
      <c r="D26" s="34">
        <v>4</v>
      </c>
      <c r="E26" s="30">
        <v>112140</v>
      </c>
      <c r="F26" s="30">
        <v>0</v>
      </c>
      <c r="G26" s="30">
        <f>E26-F26</f>
        <v>112140</v>
      </c>
      <c r="H26" s="30">
        <f>G26*18%</f>
        <v>20185.2</v>
      </c>
      <c r="I26" s="30">
        <f>G26+H26</f>
        <v>132325.20000000001</v>
      </c>
      <c r="J26" s="30">
        <f>G26*1%</f>
        <v>1121.4000000000001</v>
      </c>
      <c r="K26" s="30">
        <f>G26*5%</f>
        <v>5607</v>
      </c>
      <c r="L26" s="30"/>
      <c r="M26" s="30"/>
      <c r="N26" s="30">
        <v>0</v>
      </c>
      <c r="O26" s="31">
        <f>H26</f>
        <v>20185.2</v>
      </c>
      <c r="P26" s="30">
        <v>0</v>
      </c>
      <c r="Q26" s="30">
        <f>ROUND(I26-SUM(J26:O26),0)</f>
        <v>105412</v>
      </c>
      <c r="R26" s="32"/>
      <c r="S26" s="30"/>
      <c r="T26" s="30"/>
      <c r="U26" s="30"/>
      <c r="V26" s="30">
        <v>105412</v>
      </c>
      <c r="W26" s="33" t="s">
        <v>54</v>
      </c>
      <c r="X26" s="30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</row>
    <row r="27" spans="1:65" ht="18" x14ac:dyDescent="0.25">
      <c r="A27" s="26">
        <v>56471</v>
      </c>
      <c r="B27" s="27" t="s">
        <v>7</v>
      </c>
      <c r="C27" s="28"/>
      <c r="D27" s="34">
        <v>4</v>
      </c>
      <c r="E27" s="30">
        <v>28804</v>
      </c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1">
        <f>O26</f>
        <v>20185.2</v>
      </c>
      <c r="R27" s="32"/>
      <c r="S27" s="30"/>
      <c r="T27" s="30"/>
      <c r="U27" s="30"/>
      <c r="V27" s="30">
        <v>20185</v>
      </c>
      <c r="W27" s="33" t="s">
        <v>68</v>
      </c>
      <c r="X27" s="30"/>
    </row>
    <row r="28" spans="1:65" ht="18" x14ac:dyDescent="0.25">
      <c r="A28" s="26">
        <v>56471</v>
      </c>
      <c r="B28" s="27"/>
      <c r="C28" s="28"/>
      <c r="D28" s="34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2"/>
      <c r="S28" s="30"/>
      <c r="T28" s="30"/>
      <c r="U28" s="30"/>
      <c r="V28" s="30"/>
      <c r="W28" s="33"/>
      <c r="X28" s="30"/>
    </row>
    <row r="29" spans="1:65" ht="16.5" x14ac:dyDescent="0.25">
      <c r="A29" s="36"/>
      <c r="B29" s="37"/>
      <c r="C29" s="38"/>
      <c r="D29" s="39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5">
        <f>A30</f>
        <v>58888</v>
      </c>
      <c r="S29" s="40"/>
      <c r="T29" s="40"/>
      <c r="U29" s="40"/>
      <c r="V29" s="40"/>
      <c r="W29" s="36"/>
      <c r="X29" s="40"/>
    </row>
    <row r="30" spans="1:65" ht="33" x14ac:dyDescent="0.25">
      <c r="A30" s="26">
        <v>58888</v>
      </c>
      <c r="B30" s="27" t="s">
        <v>12</v>
      </c>
      <c r="C30" s="28">
        <v>45159</v>
      </c>
      <c r="D30" s="29">
        <v>7</v>
      </c>
      <c r="E30" s="30">
        <v>203395.5</v>
      </c>
      <c r="F30" s="30">
        <v>0</v>
      </c>
      <c r="G30" s="30">
        <f>ROUND(E30-F30,0)</f>
        <v>203396</v>
      </c>
      <c r="H30" s="30">
        <f>G30*18%</f>
        <v>36611.279999999999</v>
      </c>
      <c r="I30" s="30">
        <f>G30+H30</f>
        <v>240007.28</v>
      </c>
      <c r="J30" s="30">
        <f>+G30*1%</f>
        <v>2033.96</v>
      </c>
      <c r="K30" s="30">
        <f>G30*5%</f>
        <v>10169.800000000001</v>
      </c>
      <c r="L30" s="30"/>
      <c r="M30" s="30"/>
      <c r="N30" s="30">
        <v>0</v>
      </c>
      <c r="O30" s="31">
        <f>H30</f>
        <v>36611.279999999999</v>
      </c>
      <c r="P30" s="26"/>
      <c r="Q30" s="30">
        <f>ROUND(I30-SUM(J30:O30),0)</f>
        <v>191192</v>
      </c>
      <c r="R30" s="6"/>
      <c r="S30" s="30" t="s">
        <v>13</v>
      </c>
      <c r="T30" s="30">
        <v>191192</v>
      </c>
      <c r="U30" s="30">
        <v>0</v>
      </c>
      <c r="V30" s="30">
        <f>T30-U30</f>
        <v>191192</v>
      </c>
      <c r="W30" s="33" t="s">
        <v>14</v>
      </c>
      <c r="X30" s="30">
        <f>SUM(Q30:Q34,0)-SUM(V30:V34,0)</f>
        <v>-8.0000000016298145E-2</v>
      </c>
    </row>
    <row r="31" spans="1:65" ht="16.5" x14ac:dyDescent="0.25">
      <c r="A31" s="26">
        <v>58888</v>
      </c>
      <c r="B31" s="27" t="s">
        <v>15</v>
      </c>
      <c r="C31" s="28">
        <v>45192</v>
      </c>
      <c r="D31" s="29">
        <v>7</v>
      </c>
      <c r="E31" s="30">
        <v>36611</v>
      </c>
      <c r="F31" s="30"/>
      <c r="G31" s="30">
        <f>ROUND(E31-F31,0)</f>
        <v>36611</v>
      </c>
      <c r="H31" s="30"/>
      <c r="I31" s="30">
        <f>G31+H31</f>
        <v>36611</v>
      </c>
      <c r="J31" s="30"/>
      <c r="K31" s="30"/>
      <c r="L31" s="30"/>
      <c r="M31" s="30"/>
      <c r="N31" s="30"/>
      <c r="O31" s="30"/>
      <c r="P31" s="26"/>
      <c r="Q31" s="31">
        <f>ROUND(I31-SUM(J31:O31),0)</f>
        <v>36611</v>
      </c>
      <c r="R31" s="6"/>
      <c r="S31" s="30"/>
      <c r="T31" s="30"/>
      <c r="U31" s="30"/>
      <c r="V31" s="30">
        <v>36611</v>
      </c>
      <c r="W31" s="33" t="s">
        <v>31</v>
      </c>
      <c r="X31" s="30"/>
    </row>
    <row r="32" spans="1:65" s="25" customFormat="1" ht="33" x14ac:dyDescent="0.25">
      <c r="A32" s="26">
        <v>58888</v>
      </c>
      <c r="B32" s="27" t="s">
        <v>12</v>
      </c>
      <c r="C32" s="28">
        <v>45234</v>
      </c>
      <c r="D32" s="29">
        <v>10</v>
      </c>
      <c r="E32" s="30">
        <v>82594</v>
      </c>
      <c r="F32" s="30"/>
      <c r="G32" s="30">
        <f>ROUND(E32-F32,0)</f>
        <v>82594</v>
      </c>
      <c r="H32" s="30">
        <f>G32*18%</f>
        <v>14866.92</v>
      </c>
      <c r="I32" s="30">
        <f>G32+H32</f>
        <v>97460.92</v>
      </c>
      <c r="J32" s="30">
        <f>G32*$J$6</f>
        <v>825.94</v>
      </c>
      <c r="K32" s="30">
        <f>G32*$K$6</f>
        <v>4129.7</v>
      </c>
      <c r="L32" s="30">
        <f>G32*L6</f>
        <v>8259.4</v>
      </c>
      <c r="M32" s="30">
        <f>G32*10%</f>
        <v>8259.4</v>
      </c>
      <c r="N32" s="30">
        <f>G32*N31</f>
        <v>0</v>
      </c>
      <c r="O32" s="31">
        <f>H32</f>
        <v>14866.92</v>
      </c>
      <c r="P32" s="31">
        <v>18500</v>
      </c>
      <c r="Q32" s="30">
        <f>ROUND(I32-SUM(J32:P32),0)</f>
        <v>42620</v>
      </c>
      <c r="R32" s="6"/>
      <c r="S32" s="30"/>
      <c r="T32" s="30"/>
      <c r="U32" s="30"/>
      <c r="V32" s="30">
        <v>42620</v>
      </c>
      <c r="W32" s="33" t="s">
        <v>35</v>
      </c>
      <c r="X32" s="30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</row>
    <row r="33" spans="1:65" ht="16.5" x14ac:dyDescent="0.25">
      <c r="A33" s="26">
        <v>58888</v>
      </c>
      <c r="B33" s="27" t="s">
        <v>42</v>
      </c>
      <c r="C33" s="28"/>
      <c r="D33" s="29">
        <v>10</v>
      </c>
      <c r="E33" s="30">
        <f>O32</f>
        <v>14866.92</v>
      </c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1">
        <f>E33</f>
        <v>14866.92</v>
      </c>
      <c r="R33" s="6"/>
      <c r="S33" s="30"/>
      <c r="T33" s="30"/>
      <c r="U33" s="30"/>
      <c r="V33" s="30">
        <v>14867</v>
      </c>
      <c r="W33" s="33" t="s">
        <v>46</v>
      </c>
      <c r="X33" s="30"/>
    </row>
    <row r="34" spans="1:65" ht="16.5" x14ac:dyDescent="0.25">
      <c r="A34" s="26">
        <v>58888</v>
      </c>
      <c r="B34" s="27" t="s">
        <v>47</v>
      </c>
      <c r="C34" s="28"/>
      <c r="D34" s="29"/>
      <c r="E34" s="30">
        <f>P32</f>
        <v>18500</v>
      </c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1">
        <f>E34</f>
        <v>18500</v>
      </c>
      <c r="R34" s="6"/>
      <c r="S34" s="30"/>
      <c r="T34" s="30"/>
      <c r="U34" s="30"/>
      <c r="V34" s="30">
        <v>18500</v>
      </c>
      <c r="W34" s="33" t="s">
        <v>45</v>
      </c>
      <c r="X34" s="30"/>
    </row>
    <row r="35" spans="1:65" ht="16.5" x14ac:dyDescent="0.25">
      <c r="A35" s="36"/>
      <c r="B35" s="37"/>
      <c r="C35" s="38"/>
      <c r="D35" s="39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5">
        <f>A36</f>
        <v>57640</v>
      </c>
      <c r="S35" s="40"/>
      <c r="T35" s="40"/>
      <c r="U35" s="40"/>
      <c r="V35" s="40"/>
      <c r="W35" s="36"/>
      <c r="X35" s="40"/>
    </row>
    <row r="36" spans="1:65" ht="16.5" x14ac:dyDescent="0.25">
      <c r="A36" s="26">
        <v>57640</v>
      </c>
      <c r="B36" s="27" t="s">
        <v>19</v>
      </c>
      <c r="C36" s="28">
        <v>45079</v>
      </c>
      <c r="D36" s="29">
        <v>3</v>
      </c>
      <c r="E36" s="30">
        <f>370000*60%</f>
        <v>222000</v>
      </c>
      <c r="F36" s="30">
        <v>35382</v>
      </c>
      <c r="G36" s="30">
        <f>ROUND(E36-F36,0)</f>
        <v>186618</v>
      </c>
      <c r="H36" s="30">
        <f>ROUND(G36*18%,0)</f>
        <v>33591</v>
      </c>
      <c r="I36" s="30">
        <f>G36+H36</f>
        <v>220209</v>
      </c>
      <c r="J36" s="30">
        <f>G36*$J$6</f>
        <v>1866.18</v>
      </c>
      <c r="K36" s="30">
        <f>G36*10%</f>
        <v>18661.8</v>
      </c>
      <c r="L36" s="30"/>
      <c r="M36" s="30"/>
      <c r="N36" s="26"/>
      <c r="O36" s="31">
        <f>H36</f>
        <v>33591</v>
      </c>
      <c r="P36" s="30"/>
      <c r="Q36" s="30">
        <f>ROUND(I36-SUM(J36:O36),0)</f>
        <v>166090</v>
      </c>
      <c r="R36" s="6"/>
      <c r="S36" s="30" t="s">
        <v>20</v>
      </c>
      <c r="T36" s="30">
        <v>166091</v>
      </c>
      <c r="U36" s="30">
        <v>0</v>
      </c>
      <c r="V36" s="30">
        <f>T36-U36</f>
        <v>166091</v>
      </c>
      <c r="W36" s="33" t="s">
        <v>21</v>
      </c>
      <c r="X36" s="30">
        <f>SUM(Q35:Q40,0)-SUM(V35:V40,0)</f>
        <v>-1</v>
      </c>
    </row>
    <row r="37" spans="1:65" ht="16.5" x14ac:dyDescent="0.25">
      <c r="A37" s="26">
        <v>57640</v>
      </c>
      <c r="B37" s="27" t="s">
        <v>22</v>
      </c>
      <c r="C37" s="28">
        <v>45128</v>
      </c>
      <c r="D37" s="29">
        <v>3</v>
      </c>
      <c r="E37" s="30">
        <v>33591</v>
      </c>
      <c r="F37" s="30">
        <v>0</v>
      </c>
      <c r="G37" s="30">
        <f>ROUND(E37-F37,0)</f>
        <v>33591</v>
      </c>
      <c r="H37" s="30">
        <v>0</v>
      </c>
      <c r="I37" s="30">
        <f>G37+H37</f>
        <v>33591</v>
      </c>
      <c r="J37" s="30"/>
      <c r="K37" s="30"/>
      <c r="L37" s="30"/>
      <c r="M37" s="30"/>
      <c r="N37" s="26"/>
      <c r="O37" s="30"/>
      <c r="P37" s="30"/>
      <c r="Q37" s="31">
        <f>ROUND(I37-SUM(J37:O37),0)</f>
        <v>33591</v>
      </c>
      <c r="R37" s="6"/>
      <c r="S37" s="30" t="s">
        <v>23</v>
      </c>
      <c r="T37" s="30">
        <v>33591</v>
      </c>
      <c r="U37" s="30">
        <v>0</v>
      </c>
      <c r="V37" s="30">
        <f t="shared" ref="V37:V39" si="2">T37-U37</f>
        <v>33591</v>
      </c>
      <c r="W37" s="33" t="s">
        <v>24</v>
      </c>
      <c r="X37" s="30"/>
    </row>
    <row r="38" spans="1:65" s="25" customFormat="1" ht="16.5" x14ac:dyDescent="0.25">
      <c r="A38" s="26">
        <v>57640</v>
      </c>
      <c r="B38" s="27" t="s">
        <v>19</v>
      </c>
      <c r="C38" s="28">
        <v>45114</v>
      </c>
      <c r="D38" s="29">
        <v>4</v>
      </c>
      <c r="E38" s="30">
        <v>159000</v>
      </c>
      <c r="F38" s="30">
        <v>0</v>
      </c>
      <c r="G38" s="30">
        <f>ROUND(E38-F38,0)</f>
        <v>159000</v>
      </c>
      <c r="H38" s="30">
        <f>ROUND(G38*18%,0)</f>
        <v>28620</v>
      </c>
      <c r="I38" s="30">
        <f>G38+H38</f>
        <v>187620</v>
      </c>
      <c r="J38" s="30">
        <f>G38*$J$6</f>
        <v>1590</v>
      </c>
      <c r="K38" s="30">
        <f>G38*10%</f>
        <v>15900</v>
      </c>
      <c r="L38" s="30"/>
      <c r="M38" s="30"/>
      <c r="N38" s="26"/>
      <c r="O38" s="31">
        <f>H38</f>
        <v>28620</v>
      </c>
      <c r="P38" s="30"/>
      <c r="Q38" s="30">
        <f>ROUND(I38-SUM(J38:O38),0)</f>
        <v>141510</v>
      </c>
      <c r="R38" s="6"/>
      <c r="S38" s="30" t="s">
        <v>25</v>
      </c>
      <c r="T38" s="30">
        <v>28620</v>
      </c>
      <c r="U38" s="30"/>
      <c r="V38" s="30">
        <f t="shared" si="2"/>
        <v>28620</v>
      </c>
      <c r="W38" s="33" t="s">
        <v>26</v>
      </c>
      <c r="X38" s="30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</row>
    <row r="39" spans="1:65" ht="16.5" x14ac:dyDescent="0.25">
      <c r="A39" s="26">
        <v>57640</v>
      </c>
      <c r="B39" s="27" t="s">
        <v>22</v>
      </c>
      <c r="C39" s="28">
        <v>45160</v>
      </c>
      <c r="D39" s="29">
        <v>4</v>
      </c>
      <c r="E39" s="30">
        <v>28620</v>
      </c>
      <c r="F39" s="30"/>
      <c r="G39" s="30">
        <f>E39-F39</f>
        <v>28620</v>
      </c>
      <c r="H39" s="30">
        <v>0</v>
      </c>
      <c r="I39" s="30">
        <f>G39+H39</f>
        <v>28620</v>
      </c>
      <c r="J39" s="30">
        <v>0</v>
      </c>
      <c r="K39" s="30">
        <v>0</v>
      </c>
      <c r="L39" s="30"/>
      <c r="M39" s="30"/>
      <c r="N39" s="30">
        <v>0</v>
      </c>
      <c r="O39" s="30"/>
      <c r="P39" s="30"/>
      <c r="Q39" s="31">
        <f>I39-SUM(J39:N39)</f>
        <v>28620</v>
      </c>
      <c r="R39" s="6"/>
      <c r="S39" s="30" t="s">
        <v>27</v>
      </c>
      <c r="T39" s="30">
        <v>141510</v>
      </c>
      <c r="U39" s="30"/>
      <c r="V39" s="30">
        <f t="shared" si="2"/>
        <v>141510</v>
      </c>
      <c r="W39" s="33" t="s">
        <v>28</v>
      </c>
      <c r="X39" s="30"/>
    </row>
    <row r="40" spans="1:65" ht="16.5" x14ac:dyDescent="0.25">
      <c r="A40" s="26">
        <v>57640</v>
      </c>
      <c r="B40" s="27"/>
      <c r="C40" s="28"/>
      <c r="D40" s="29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6"/>
      <c r="S40" s="30"/>
      <c r="T40" s="30"/>
      <c r="U40" s="30"/>
      <c r="V40" s="30"/>
      <c r="W40" s="33"/>
      <c r="X40" s="30"/>
    </row>
    <row r="41" spans="1:65" ht="16.5" x14ac:dyDescent="0.25">
      <c r="A41" s="36"/>
      <c r="B41" s="37"/>
      <c r="C41" s="38"/>
      <c r="D41" s="41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5">
        <f>A42</f>
        <v>57779</v>
      </c>
      <c r="S41" s="40"/>
      <c r="T41" s="40"/>
      <c r="U41" s="40"/>
      <c r="V41" s="40"/>
      <c r="W41" s="36"/>
      <c r="X41" s="40"/>
    </row>
    <row r="42" spans="1:65" ht="33" x14ac:dyDescent="0.25">
      <c r="A42" s="26">
        <v>57779</v>
      </c>
      <c r="B42" s="27" t="s">
        <v>32</v>
      </c>
      <c r="C42" s="28">
        <v>45071</v>
      </c>
      <c r="D42" s="29">
        <v>2</v>
      </c>
      <c r="E42" s="30">
        <f>350000*60%</f>
        <v>210000</v>
      </c>
      <c r="F42" s="30">
        <v>29958</v>
      </c>
      <c r="G42" s="30">
        <f>ROUND(E42-F42,0)</f>
        <v>180042</v>
      </c>
      <c r="H42" s="30">
        <f>G42*18%</f>
        <v>32407.559999999998</v>
      </c>
      <c r="I42" s="30">
        <f>G42+H42</f>
        <v>212449.56</v>
      </c>
      <c r="J42" s="30">
        <f>+G42*1%</f>
        <v>1800.42</v>
      </c>
      <c r="K42" s="30">
        <f>G42*10%</f>
        <v>18004.2</v>
      </c>
      <c r="L42" s="30"/>
      <c r="M42" s="30"/>
      <c r="N42" s="30"/>
      <c r="O42" s="31">
        <f>G42*18%</f>
        <v>32407.559999999998</v>
      </c>
      <c r="P42" s="30"/>
      <c r="Q42" s="30">
        <f>G42-J42-K42</f>
        <v>160237.37999999998</v>
      </c>
      <c r="R42" s="6"/>
      <c r="S42" s="30" t="s">
        <v>34</v>
      </c>
      <c r="T42" s="30">
        <v>160238</v>
      </c>
      <c r="U42" s="30">
        <v>0</v>
      </c>
      <c r="V42" s="30">
        <f>T42-U42</f>
        <v>160238</v>
      </c>
      <c r="W42" s="33" t="s">
        <v>33</v>
      </c>
      <c r="X42" s="30">
        <f>SUM(Q42:Q48,0)-SUM(V42:V48,0)</f>
        <v>82596.939999999944</v>
      </c>
    </row>
    <row r="43" spans="1:65" ht="16.5" x14ac:dyDescent="0.25">
      <c r="A43" s="26">
        <v>57779</v>
      </c>
      <c r="B43" s="27" t="s">
        <v>22</v>
      </c>
      <c r="C43" s="28"/>
      <c r="D43" s="29">
        <v>2</v>
      </c>
      <c r="E43" s="30">
        <f>H42</f>
        <v>32407.559999999998</v>
      </c>
      <c r="F43" s="30">
        <v>0</v>
      </c>
      <c r="G43" s="30"/>
      <c r="H43" s="30"/>
      <c r="I43" s="30"/>
      <c r="J43" s="30"/>
      <c r="K43" s="30"/>
      <c r="L43" s="30"/>
      <c r="M43" s="30"/>
      <c r="N43" s="26"/>
      <c r="O43" s="30"/>
      <c r="P43" s="30"/>
      <c r="Q43" s="31">
        <f>E43</f>
        <v>32407.559999999998</v>
      </c>
      <c r="R43" s="6"/>
      <c r="S43" s="30"/>
      <c r="T43" s="30"/>
      <c r="U43" s="30"/>
      <c r="V43" s="30">
        <v>90000</v>
      </c>
      <c r="W43" s="33" t="s">
        <v>36</v>
      </c>
      <c r="X43" s="30"/>
    </row>
    <row r="44" spans="1:65" ht="33" x14ac:dyDescent="0.25">
      <c r="A44" s="26">
        <v>57779</v>
      </c>
      <c r="B44" s="27" t="s">
        <v>32</v>
      </c>
      <c r="C44" s="28">
        <v>45238</v>
      </c>
      <c r="D44" s="29">
        <v>12</v>
      </c>
      <c r="E44" s="30">
        <v>116000</v>
      </c>
      <c r="F44" s="30">
        <v>0</v>
      </c>
      <c r="G44" s="30">
        <f>ROUND(E44-F44,0)</f>
        <v>116000</v>
      </c>
      <c r="H44" s="30">
        <f>G44*18%</f>
        <v>20880</v>
      </c>
      <c r="I44" s="30">
        <f>G44+H44</f>
        <v>136880</v>
      </c>
      <c r="J44" s="30">
        <f>+G44*1%</f>
        <v>1160</v>
      </c>
      <c r="K44" s="30">
        <f>G44*5%</f>
        <v>5800</v>
      </c>
      <c r="L44" s="30"/>
      <c r="M44" s="30"/>
      <c r="N44" s="30"/>
      <c r="O44" s="31">
        <f>G44*18%</f>
        <v>20880</v>
      </c>
      <c r="P44" s="30"/>
      <c r="Q44" s="30">
        <f t="shared" ref="Q44" si="3">G44-J44-K44</f>
        <v>109040</v>
      </c>
      <c r="R44" s="6"/>
      <c r="S44" s="30"/>
      <c r="T44" s="30"/>
      <c r="U44" s="30"/>
      <c r="V44" s="30">
        <v>20880</v>
      </c>
      <c r="W44" s="33" t="s">
        <v>51</v>
      </c>
      <c r="X44" s="30"/>
    </row>
    <row r="45" spans="1:65" ht="16.5" x14ac:dyDescent="0.25">
      <c r="A45" s="26">
        <v>57779</v>
      </c>
      <c r="B45" s="27" t="s">
        <v>22</v>
      </c>
      <c r="C45" s="28"/>
      <c r="D45" s="29">
        <v>12</v>
      </c>
      <c r="E45" s="30">
        <f>H44</f>
        <v>20880</v>
      </c>
      <c r="F45" s="30">
        <v>0</v>
      </c>
      <c r="G45" s="30"/>
      <c r="H45" s="30"/>
      <c r="I45" s="30"/>
      <c r="J45" s="30"/>
      <c r="K45" s="30"/>
      <c r="L45" s="30"/>
      <c r="M45" s="30"/>
      <c r="N45" s="26"/>
      <c r="O45" s="30"/>
      <c r="P45" s="30"/>
      <c r="Q45" s="31">
        <f>E45</f>
        <v>20880</v>
      </c>
      <c r="R45" s="6"/>
      <c r="S45" s="30"/>
      <c r="T45" s="30"/>
      <c r="U45" s="30"/>
      <c r="V45" s="30">
        <v>6300</v>
      </c>
      <c r="W45" s="33" t="s">
        <v>80</v>
      </c>
      <c r="X45" s="30"/>
    </row>
    <row r="46" spans="1:65" s="25" customFormat="1" ht="33" x14ac:dyDescent="0.25">
      <c r="A46" s="26">
        <v>57779</v>
      </c>
      <c r="B46" s="27" t="s">
        <v>32</v>
      </c>
      <c r="C46" s="28">
        <v>45534</v>
      </c>
      <c r="D46" s="29">
        <v>9</v>
      </c>
      <c r="E46" s="30">
        <v>35000</v>
      </c>
      <c r="F46" s="30"/>
      <c r="G46" s="30">
        <f>ROUND(E46-F46,0)</f>
        <v>35000</v>
      </c>
      <c r="H46" s="30">
        <f>G46*18%</f>
        <v>6300</v>
      </c>
      <c r="I46" s="30">
        <f>G46+H46</f>
        <v>41300</v>
      </c>
      <c r="J46" s="30">
        <f>+G46*1%</f>
        <v>350</v>
      </c>
      <c r="K46" s="30">
        <f>G46*5%</f>
        <v>1750</v>
      </c>
      <c r="L46" s="30"/>
      <c r="M46" s="30"/>
      <c r="N46" s="30"/>
      <c r="O46" s="31">
        <f>G46*18%</f>
        <v>6300</v>
      </c>
      <c r="P46" s="30">
        <f>G46*5%</f>
        <v>1750</v>
      </c>
      <c r="Q46" s="30">
        <f>I46-SUM(J46:P46)</f>
        <v>31150</v>
      </c>
      <c r="R46" s="6"/>
      <c r="S46" s="30"/>
      <c r="T46" s="30"/>
      <c r="U46" s="30"/>
      <c r="V46" s="30"/>
      <c r="W46" s="33"/>
      <c r="X46" s="30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</row>
    <row r="47" spans="1:65" ht="16.5" x14ac:dyDescent="0.25">
      <c r="A47" s="26">
        <v>57779</v>
      </c>
      <c r="B47" s="27" t="s">
        <v>22</v>
      </c>
      <c r="C47" s="28"/>
      <c r="D47" s="29">
        <v>9</v>
      </c>
      <c r="E47" s="30">
        <f>H46</f>
        <v>6300</v>
      </c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1">
        <f>O46</f>
        <v>6300</v>
      </c>
      <c r="R47" s="6"/>
      <c r="S47" s="30"/>
      <c r="T47" s="30"/>
      <c r="U47" s="30"/>
      <c r="V47" s="30"/>
      <c r="W47" s="33"/>
      <c r="X47" s="30"/>
    </row>
    <row r="48" spans="1:65" ht="16.5" x14ac:dyDescent="0.25">
      <c r="A48" s="26">
        <v>57779</v>
      </c>
      <c r="B48" s="27"/>
      <c r="C48" s="28"/>
      <c r="D48" s="29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6"/>
      <c r="S48" s="30"/>
      <c r="T48" s="30"/>
      <c r="U48" s="30"/>
      <c r="V48" s="30"/>
      <c r="W48" s="33"/>
      <c r="X48" s="30"/>
    </row>
    <row r="49" spans="1:65" s="25" customFormat="1" ht="16.5" x14ac:dyDescent="0.25">
      <c r="A49" s="36"/>
      <c r="B49" s="37"/>
      <c r="C49" s="38"/>
      <c r="D49" s="39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5">
        <f>A50</f>
        <v>59847</v>
      </c>
      <c r="S49" s="40"/>
      <c r="T49" s="40"/>
      <c r="U49" s="40"/>
      <c r="V49" s="40"/>
      <c r="W49" s="36"/>
      <c r="X49" s="40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</row>
    <row r="50" spans="1:65" ht="16.5" x14ac:dyDescent="0.25">
      <c r="A50" s="26">
        <v>59847</v>
      </c>
      <c r="B50" s="27" t="s">
        <v>29</v>
      </c>
      <c r="C50" s="28">
        <v>45216</v>
      </c>
      <c r="D50" s="29">
        <v>9</v>
      </c>
      <c r="E50" s="30">
        <v>341310</v>
      </c>
      <c r="F50" s="30">
        <v>0</v>
      </c>
      <c r="G50" s="30">
        <f>ROUND(E50-F50,0)</f>
        <v>341310</v>
      </c>
      <c r="H50" s="30">
        <f>ROUND(G50*18%,0)</f>
        <v>61436</v>
      </c>
      <c r="I50" s="30">
        <f>G50+H50</f>
        <v>402746</v>
      </c>
      <c r="J50" s="30">
        <f>+G50*1%</f>
        <v>3413.1</v>
      </c>
      <c r="K50" s="30">
        <f>G50*5%</f>
        <v>17065.5</v>
      </c>
      <c r="L50" s="30"/>
      <c r="M50" s="30"/>
      <c r="N50" s="30">
        <v>0</v>
      </c>
      <c r="O50" s="31">
        <f>H50</f>
        <v>61436</v>
      </c>
      <c r="P50" s="30"/>
      <c r="Q50" s="30">
        <f>I50-SUM(J50:O50)</f>
        <v>320831.40000000002</v>
      </c>
      <c r="R50" s="6"/>
      <c r="S50" s="30"/>
      <c r="T50" s="30"/>
      <c r="U50" s="30"/>
      <c r="V50" s="30">
        <v>320831</v>
      </c>
      <c r="W50" s="33" t="s">
        <v>37</v>
      </c>
      <c r="X50" s="30">
        <f>SUM(Q50:Q51,0)-SUM(V50:V51,0)</f>
        <v>0.40000000002328306</v>
      </c>
    </row>
    <row r="51" spans="1:65" ht="18" x14ac:dyDescent="0.25">
      <c r="A51" s="26">
        <v>59847</v>
      </c>
      <c r="B51" s="27" t="s">
        <v>22</v>
      </c>
      <c r="C51" s="28"/>
      <c r="D51" s="29">
        <v>9</v>
      </c>
      <c r="E51" s="30">
        <f>H50</f>
        <v>61436</v>
      </c>
      <c r="F51" s="30">
        <v>0</v>
      </c>
      <c r="G51" s="30">
        <f>ROUND(E51-F51,0)</f>
        <v>61436</v>
      </c>
      <c r="H51" s="30">
        <v>0</v>
      </c>
      <c r="I51" s="30">
        <f>G51+H51</f>
        <v>61436</v>
      </c>
      <c r="J51" s="30"/>
      <c r="K51" s="30"/>
      <c r="L51" s="30"/>
      <c r="M51" s="30"/>
      <c r="N51" s="26"/>
      <c r="O51" s="30"/>
      <c r="P51" s="30"/>
      <c r="Q51" s="31">
        <f>ROUND(I51-SUM(J51:O51),0)</f>
        <v>61436</v>
      </c>
      <c r="R51" s="32"/>
      <c r="S51" s="30"/>
      <c r="T51" s="30"/>
      <c r="U51" s="30"/>
      <c r="V51" s="30">
        <v>61436</v>
      </c>
      <c r="W51" s="33" t="s">
        <v>43</v>
      </c>
      <c r="X51" s="30"/>
    </row>
    <row r="52" spans="1:65" ht="16.5" x14ac:dyDescent="0.25">
      <c r="A52" s="36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5">
        <f>A53</f>
        <v>60113</v>
      </c>
      <c r="S52" s="40"/>
      <c r="T52" s="40"/>
      <c r="U52" s="40"/>
      <c r="V52" s="40"/>
      <c r="W52" s="36"/>
      <c r="X52" s="40"/>
    </row>
    <row r="53" spans="1:65" ht="30" x14ac:dyDescent="0.25">
      <c r="A53" s="26">
        <v>60113</v>
      </c>
      <c r="B53" s="30" t="s">
        <v>94</v>
      </c>
      <c r="C53" s="28">
        <v>45237</v>
      </c>
      <c r="D53" s="67">
        <v>11</v>
      </c>
      <c r="E53" s="30">
        <v>10000</v>
      </c>
      <c r="F53" s="30">
        <v>0</v>
      </c>
      <c r="G53" s="30">
        <f>ROUND(E53-F53,0)</f>
        <v>10000</v>
      </c>
      <c r="H53" s="30">
        <f>ROUND(G53*18%,0)</f>
        <v>1800</v>
      </c>
      <c r="I53" s="30">
        <f>G53+H53</f>
        <v>11800</v>
      </c>
      <c r="J53" s="30">
        <f>G53*10%</f>
        <v>1000</v>
      </c>
      <c r="K53" s="30">
        <v>0</v>
      </c>
      <c r="L53" s="30">
        <v>0</v>
      </c>
      <c r="M53" s="30">
        <v>0</v>
      </c>
      <c r="N53" s="30">
        <v>0</v>
      </c>
      <c r="O53" s="31">
        <f>H53</f>
        <v>1800</v>
      </c>
      <c r="P53" s="30"/>
      <c r="Q53" s="30">
        <f>I53-SUM(J53:O53)</f>
        <v>9000</v>
      </c>
      <c r="R53" s="32"/>
      <c r="S53" s="30"/>
      <c r="T53" s="30"/>
      <c r="U53" s="30"/>
      <c r="V53" s="30">
        <v>1800</v>
      </c>
      <c r="W53" s="42" t="s">
        <v>48</v>
      </c>
      <c r="X53" s="30">
        <f>SUM(Q53:Q54,0)-SUM(V53:V54,0)</f>
        <v>0</v>
      </c>
    </row>
    <row r="54" spans="1:65" ht="18" x14ac:dyDescent="0.25">
      <c r="A54" s="26">
        <v>60113</v>
      </c>
      <c r="B54" s="27" t="s">
        <v>22</v>
      </c>
      <c r="C54" s="28"/>
      <c r="D54" s="29">
        <v>11</v>
      </c>
      <c r="E54" s="30">
        <f>O53</f>
        <v>1800</v>
      </c>
      <c r="F54" s="30">
        <v>0</v>
      </c>
      <c r="G54" s="30">
        <v>0</v>
      </c>
      <c r="H54" s="30">
        <v>0</v>
      </c>
      <c r="I54" s="30">
        <f>G54+H54</f>
        <v>0</v>
      </c>
      <c r="J54" s="30"/>
      <c r="K54" s="30"/>
      <c r="L54" s="30"/>
      <c r="M54" s="30"/>
      <c r="N54" s="26"/>
      <c r="O54" s="30"/>
      <c r="P54" s="30"/>
      <c r="Q54" s="31">
        <f>E54</f>
        <v>1800</v>
      </c>
      <c r="R54" s="32"/>
      <c r="S54" s="30"/>
      <c r="T54" s="30"/>
      <c r="U54" s="30"/>
      <c r="V54" s="30">
        <v>9000</v>
      </c>
      <c r="W54" s="33" t="s">
        <v>49</v>
      </c>
      <c r="X54" s="30"/>
    </row>
    <row r="55" spans="1:65" ht="16.5" x14ac:dyDescent="0.25">
      <c r="A55" s="36"/>
      <c r="B55" s="40"/>
      <c r="C55" s="40"/>
      <c r="D55" s="68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5">
        <f>A56</f>
        <v>61131</v>
      </c>
      <c r="S55" s="40"/>
      <c r="T55" s="40"/>
      <c r="U55" s="40"/>
      <c r="V55" s="40"/>
      <c r="W55" s="36"/>
      <c r="X55" s="40"/>
    </row>
    <row r="56" spans="1:65" ht="18" x14ac:dyDescent="0.25">
      <c r="A56" s="26">
        <v>61131</v>
      </c>
      <c r="B56" s="30" t="s">
        <v>95</v>
      </c>
      <c r="C56" s="28">
        <v>45281</v>
      </c>
      <c r="D56" s="67">
        <v>15</v>
      </c>
      <c r="E56" s="30">
        <v>232470</v>
      </c>
      <c r="F56" s="30">
        <v>18750</v>
      </c>
      <c r="G56" s="30">
        <f>ROUND(E56-F56,0)</f>
        <v>213720</v>
      </c>
      <c r="H56" s="30">
        <f>ROUND(G56*18%,0)</f>
        <v>38470</v>
      </c>
      <c r="I56" s="30">
        <f>G56+H56</f>
        <v>252190</v>
      </c>
      <c r="J56" s="30">
        <f>+G56*1%</f>
        <v>2137.1999999999998</v>
      </c>
      <c r="K56" s="30">
        <f>G56*5%</f>
        <v>10686</v>
      </c>
      <c r="L56" s="30"/>
      <c r="M56" s="30"/>
      <c r="N56" s="30"/>
      <c r="O56" s="31">
        <f>H56</f>
        <v>38470</v>
      </c>
      <c r="P56" s="30"/>
      <c r="Q56" s="30">
        <f>I56-SUM(J56:O56)</f>
        <v>200896.8</v>
      </c>
      <c r="R56" s="32"/>
      <c r="S56" s="30"/>
      <c r="T56" s="30"/>
      <c r="U56" s="30"/>
      <c r="V56" s="30">
        <v>200897</v>
      </c>
      <c r="W56" s="33" t="s">
        <v>44</v>
      </c>
      <c r="X56" s="30">
        <f>SUM(Q56:Q58,0)-SUM(V56:V58,0)</f>
        <v>-0.20000000001164153</v>
      </c>
    </row>
    <row r="57" spans="1:65" ht="18" x14ac:dyDescent="0.25">
      <c r="A57" s="26">
        <v>61131</v>
      </c>
      <c r="B57" s="30" t="s">
        <v>42</v>
      </c>
      <c r="C57" s="30"/>
      <c r="D57" s="67">
        <v>15</v>
      </c>
      <c r="E57" s="30">
        <f>O56</f>
        <v>38470</v>
      </c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1">
        <f>E57</f>
        <v>38470</v>
      </c>
      <c r="R57" s="32"/>
      <c r="S57" s="30"/>
      <c r="T57" s="30"/>
      <c r="U57" s="30"/>
      <c r="V57" s="30">
        <v>38470</v>
      </c>
      <c r="W57" s="33" t="s">
        <v>50</v>
      </c>
      <c r="X57" s="30"/>
    </row>
    <row r="58" spans="1:65" ht="18" x14ac:dyDescent="0.25">
      <c r="A58" s="26">
        <v>61131</v>
      </c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2"/>
      <c r="S58" s="30"/>
      <c r="T58" s="30"/>
      <c r="U58" s="30"/>
      <c r="V58" s="30"/>
      <c r="W58" s="33"/>
      <c r="X58" s="30"/>
    </row>
    <row r="59" spans="1:65" ht="16.5" x14ac:dyDescent="0.25">
      <c r="A59" s="36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5">
        <f>A60</f>
        <v>62868</v>
      </c>
      <c r="S59" s="40"/>
      <c r="T59" s="40"/>
      <c r="U59" s="40"/>
      <c r="V59" s="40"/>
      <c r="W59" s="36"/>
      <c r="X59" s="40"/>
    </row>
    <row r="60" spans="1:65" ht="18" x14ac:dyDescent="0.25">
      <c r="A60" s="43">
        <v>62868</v>
      </c>
      <c r="B60" s="44" t="s">
        <v>96</v>
      </c>
      <c r="C60" s="45">
        <v>45360</v>
      </c>
      <c r="D60" s="44">
        <v>24</v>
      </c>
      <c r="E60" s="46">
        <v>61456</v>
      </c>
      <c r="F60" s="46">
        <v>15750</v>
      </c>
      <c r="G60" s="30">
        <f>ROUND(E60-F60,0)</f>
        <v>45706</v>
      </c>
      <c r="H60" s="30">
        <f>ROUND(G60*18%,0)</f>
        <v>8227</v>
      </c>
      <c r="I60" s="30">
        <f>G60+H60</f>
        <v>53933</v>
      </c>
      <c r="J60" s="30">
        <f>+G60*1%</f>
        <v>457.06</v>
      </c>
      <c r="K60" s="30">
        <f>G60*5%</f>
        <v>2285.3000000000002</v>
      </c>
      <c r="L60" s="30"/>
      <c r="M60" s="30"/>
      <c r="N60" s="30"/>
      <c r="O60" s="31">
        <f>H60</f>
        <v>8227</v>
      </c>
      <c r="P60" s="30"/>
      <c r="Q60" s="30">
        <f>I60-SUM(J60:O60)</f>
        <v>42963.64</v>
      </c>
      <c r="R60" s="47"/>
      <c r="S60" s="48"/>
      <c r="T60" s="48"/>
      <c r="U60" s="48"/>
      <c r="V60" s="48">
        <v>8227</v>
      </c>
      <c r="W60" s="33" t="s">
        <v>74</v>
      </c>
      <c r="X60" s="48">
        <f>SUM(Q60:Q61,0)-SUM(V60:V61,0)</f>
        <v>-0.36000000000058208</v>
      </c>
    </row>
    <row r="61" spans="1:65" ht="18" x14ac:dyDescent="0.25">
      <c r="A61" s="43">
        <v>62868</v>
      </c>
      <c r="B61" s="44" t="s">
        <v>52</v>
      </c>
      <c r="C61" s="44"/>
      <c r="D61" s="44">
        <v>24</v>
      </c>
      <c r="E61" s="46">
        <f>H60</f>
        <v>8227</v>
      </c>
      <c r="F61" s="46"/>
      <c r="G61" s="46"/>
      <c r="H61" s="48"/>
      <c r="I61" s="48"/>
      <c r="J61" s="48"/>
      <c r="K61" s="48"/>
      <c r="L61" s="48"/>
      <c r="M61" s="48"/>
      <c r="N61" s="48"/>
      <c r="O61" s="48"/>
      <c r="P61" s="48"/>
      <c r="Q61" s="49">
        <f>O60</f>
        <v>8227</v>
      </c>
      <c r="R61" s="47"/>
      <c r="S61" s="48"/>
      <c r="T61" s="48"/>
      <c r="U61" s="48"/>
      <c r="V61" s="48">
        <v>42964</v>
      </c>
      <c r="W61" s="33" t="s">
        <v>63</v>
      </c>
      <c r="X61" s="48"/>
    </row>
    <row r="62" spans="1:65" ht="16.5" x14ac:dyDescent="0.25">
      <c r="A62" s="36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5">
        <f>A63</f>
        <v>63379</v>
      </c>
      <c r="S62" s="40"/>
      <c r="T62" s="40"/>
      <c r="U62" s="40"/>
      <c r="V62" s="40"/>
      <c r="W62" s="36"/>
      <c r="X62" s="40"/>
    </row>
    <row r="63" spans="1:65" ht="18" x14ac:dyDescent="0.25">
      <c r="A63" s="43">
        <v>63379</v>
      </c>
      <c r="B63" s="44" t="s">
        <v>97</v>
      </c>
      <c r="C63" s="45">
        <v>45397</v>
      </c>
      <c r="D63" s="44">
        <v>1</v>
      </c>
      <c r="E63" s="46">
        <v>286160</v>
      </c>
      <c r="F63" s="46"/>
      <c r="G63" s="30">
        <f>ROUND(E63-F63,0)</f>
        <v>286160</v>
      </c>
      <c r="H63" s="30">
        <f>ROUND(G63*18%,0)</f>
        <v>51509</v>
      </c>
      <c r="I63" s="30">
        <f>G63+H63</f>
        <v>337669</v>
      </c>
      <c r="J63" s="30">
        <f>+G63*1%</f>
        <v>2861.6</v>
      </c>
      <c r="K63" s="30">
        <f>G63*5%</f>
        <v>14308</v>
      </c>
      <c r="L63" s="30"/>
      <c r="M63" s="30"/>
      <c r="N63" s="30"/>
      <c r="O63" s="31">
        <f>H63</f>
        <v>51509</v>
      </c>
      <c r="P63" s="30">
        <v>9765</v>
      </c>
      <c r="Q63" s="30">
        <f>I63-SUM(J63:P63)</f>
        <v>259225.4</v>
      </c>
      <c r="R63" s="47"/>
      <c r="S63" s="48"/>
      <c r="T63" s="48"/>
      <c r="U63" s="48"/>
      <c r="V63" s="48">
        <v>200000</v>
      </c>
      <c r="W63" s="33" t="s">
        <v>57</v>
      </c>
      <c r="X63" s="48">
        <f>SUM(Q63:Q67,0)-SUM(V63:V67,0)</f>
        <v>15282</v>
      </c>
    </row>
    <row r="64" spans="1:65" ht="18" x14ac:dyDescent="0.25">
      <c r="A64" s="43">
        <v>63379</v>
      </c>
      <c r="B64" s="44" t="s">
        <v>52</v>
      </c>
      <c r="C64" s="44"/>
      <c r="D64" s="44">
        <v>1</v>
      </c>
      <c r="E64" s="46">
        <f>O63</f>
        <v>51509</v>
      </c>
      <c r="F64" s="46"/>
      <c r="G64" s="46"/>
      <c r="H64" s="48"/>
      <c r="I64" s="48"/>
      <c r="J64" s="48"/>
      <c r="K64" s="48"/>
      <c r="L64" s="48"/>
      <c r="M64" s="48"/>
      <c r="N64" s="48"/>
      <c r="O64" s="48"/>
      <c r="P64" s="48"/>
      <c r="Q64" s="49">
        <f>E64</f>
        <v>51509</v>
      </c>
      <c r="R64" s="47"/>
      <c r="S64" s="48"/>
      <c r="T64" s="48"/>
      <c r="U64" s="48"/>
      <c r="V64" s="48">
        <v>51509</v>
      </c>
      <c r="W64" s="33" t="s">
        <v>60</v>
      </c>
      <c r="X64" s="48"/>
    </row>
    <row r="65" spans="1:24" ht="18" x14ac:dyDescent="0.25">
      <c r="A65" s="43">
        <v>63379</v>
      </c>
      <c r="B65" s="44" t="s">
        <v>97</v>
      </c>
      <c r="C65" s="45">
        <v>45605</v>
      </c>
      <c r="D65" s="44">
        <v>14</v>
      </c>
      <c r="E65" s="46">
        <v>122640</v>
      </c>
      <c r="F65" s="46"/>
      <c r="G65" s="30">
        <f>ROUND(E65-F65,0)</f>
        <v>122640</v>
      </c>
      <c r="H65" s="30">
        <f>ROUND(G65*18%,0)</f>
        <v>22075</v>
      </c>
      <c r="I65" s="30">
        <f>G65+H65</f>
        <v>144715</v>
      </c>
      <c r="J65" s="30">
        <f>+G65*1%</f>
        <v>1226.4000000000001</v>
      </c>
      <c r="K65" s="30">
        <f>G65*5%</f>
        <v>6132</v>
      </c>
      <c r="L65" s="30"/>
      <c r="M65" s="30"/>
      <c r="N65" s="30"/>
      <c r="O65" s="31">
        <f>H65</f>
        <v>22075</v>
      </c>
      <c r="P65" s="30">
        <v>0</v>
      </c>
      <c r="Q65" s="30">
        <f>I65-SUM(J65:P65)</f>
        <v>115281.60000000001</v>
      </c>
      <c r="R65" s="47"/>
      <c r="S65" s="48"/>
      <c r="T65" s="48"/>
      <c r="U65" s="48"/>
      <c r="V65" s="48">
        <v>59225</v>
      </c>
      <c r="W65" s="33" t="s">
        <v>61</v>
      </c>
      <c r="X65" s="48"/>
    </row>
    <row r="66" spans="1:24" ht="18" x14ac:dyDescent="0.25">
      <c r="A66" s="43">
        <v>63379</v>
      </c>
      <c r="B66" s="44" t="s">
        <v>52</v>
      </c>
      <c r="C66" s="45"/>
      <c r="D66" s="44">
        <v>14</v>
      </c>
      <c r="E66" s="46">
        <f>H65</f>
        <v>22075</v>
      </c>
      <c r="F66" s="46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>
        <f>O65</f>
        <v>22075</v>
      </c>
      <c r="R66" s="47"/>
      <c r="S66" s="48"/>
      <c r="T66" s="48"/>
      <c r="U66" s="48"/>
      <c r="V66" s="48">
        <v>100000</v>
      </c>
      <c r="W66" s="33" t="s">
        <v>81</v>
      </c>
      <c r="X66" s="48"/>
    </row>
    <row r="67" spans="1:24" ht="18" x14ac:dyDescent="0.25">
      <c r="A67" s="43">
        <v>63379</v>
      </c>
      <c r="B67" s="44"/>
      <c r="C67" s="45"/>
      <c r="D67" s="44"/>
      <c r="E67" s="46"/>
      <c r="F67" s="46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1"/>
      <c r="R67" s="47"/>
      <c r="S67" s="48"/>
      <c r="T67" s="48"/>
      <c r="U67" s="48"/>
      <c r="V67" s="48">
        <v>22075</v>
      </c>
      <c r="W67" s="33" t="s">
        <v>83</v>
      </c>
      <c r="X67" s="48"/>
    </row>
    <row r="68" spans="1:24" ht="16.5" x14ac:dyDescent="0.25">
      <c r="A68" s="36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5">
        <f>A69</f>
        <v>64099</v>
      </c>
      <c r="S68" s="40"/>
      <c r="T68" s="40"/>
      <c r="U68" s="40"/>
      <c r="V68" s="40"/>
      <c r="W68" s="36"/>
      <c r="X68" s="40"/>
    </row>
    <row r="69" spans="1:24" ht="33" x14ac:dyDescent="0.25">
      <c r="A69" s="43">
        <v>64099</v>
      </c>
      <c r="B69" s="50" t="s">
        <v>98</v>
      </c>
      <c r="C69" s="45">
        <v>45449</v>
      </c>
      <c r="D69" s="44">
        <v>5</v>
      </c>
      <c r="E69" s="46">
        <v>155085</v>
      </c>
      <c r="F69" s="46">
        <v>0</v>
      </c>
      <c r="G69" s="30">
        <f>ROUND(E69-F69,0)</f>
        <v>155085</v>
      </c>
      <c r="H69" s="30">
        <f>ROUND(G69*18%,0)</f>
        <v>27915</v>
      </c>
      <c r="I69" s="30">
        <f>G69+H69</f>
        <v>183000</v>
      </c>
      <c r="J69" s="30">
        <f>+G69*1%</f>
        <v>1550.8500000000001</v>
      </c>
      <c r="K69" s="30">
        <f>G69*5%</f>
        <v>7754.25</v>
      </c>
      <c r="L69" s="30"/>
      <c r="M69" s="30"/>
      <c r="N69" s="30"/>
      <c r="O69" s="31">
        <f>H69</f>
        <v>27915</v>
      </c>
      <c r="P69" s="30"/>
      <c r="Q69" s="30">
        <f>I69-SUM(J69:O69)</f>
        <v>145779.9</v>
      </c>
      <c r="R69" s="47"/>
      <c r="S69" s="48"/>
      <c r="T69" s="48"/>
      <c r="U69" s="48"/>
      <c r="V69" s="48">
        <v>100000</v>
      </c>
      <c r="W69" s="33" t="s">
        <v>73</v>
      </c>
      <c r="X69" s="48">
        <f>SUM(Q69:Q71,0)-SUM(V69:V71,0)</f>
        <v>-0.10000000000582077</v>
      </c>
    </row>
    <row r="70" spans="1:24" ht="18" x14ac:dyDescent="0.25">
      <c r="A70" s="43">
        <v>64099</v>
      </c>
      <c r="B70" s="50" t="s">
        <v>42</v>
      </c>
      <c r="C70" s="45"/>
      <c r="D70" s="44">
        <v>5</v>
      </c>
      <c r="E70" s="46">
        <f>O69</f>
        <v>27915</v>
      </c>
      <c r="F70" s="46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9">
        <f>E70</f>
        <v>27915</v>
      </c>
      <c r="R70" s="47"/>
      <c r="S70" s="48"/>
      <c r="T70" s="48"/>
      <c r="U70" s="48"/>
      <c r="V70" s="48">
        <v>45780</v>
      </c>
      <c r="W70" s="33" t="s">
        <v>55</v>
      </c>
      <c r="X70" s="48"/>
    </row>
    <row r="71" spans="1:24" ht="18" x14ac:dyDescent="0.25">
      <c r="A71" s="43">
        <v>64099</v>
      </c>
      <c r="B71" s="50"/>
      <c r="C71" s="45"/>
      <c r="D71" s="44"/>
      <c r="E71" s="46"/>
      <c r="F71" s="46"/>
      <c r="G71" s="48"/>
      <c r="H71" s="48"/>
      <c r="I71" s="48"/>
      <c r="J71" s="48"/>
      <c r="K71" s="48"/>
      <c r="L71" s="48"/>
      <c r="M71" s="48"/>
      <c r="N71" s="48"/>
      <c r="O71" s="48"/>
      <c r="P71" s="48"/>
      <c r="Q71" s="48"/>
      <c r="R71" s="47"/>
      <c r="S71" s="48"/>
      <c r="T71" s="48"/>
      <c r="U71" s="48"/>
      <c r="V71" s="48">
        <v>27915</v>
      </c>
      <c r="W71" s="33" t="s">
        <v>59</v>
      </c>
      <c r="X71" s="48"/>
    </row>
    <row r="72" spans="1:24" ht="16.5" x14ac:dyDescent="0.25">
      <c r="A72" s="36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5">
        <f>A73</f>
        <v>64365</v>
      </c>
      <c r="S72" s="40"/>
      <c r="T72" s="40"/>
      <c r="U72" s="40"/>
      <c r="V72" s="40"/>
      <c r="W72" s="36"/>
      <c r="X72" s="40"/>
    </row>
    <row r="73" spans="1:24" s="81" customFormat="1" ht="49.5" x14ac:dyDescent="0.25">
      <c r="A73" s="72">
        <v>64365</v>
      </c>
      <c r="B73" s="73" t="s">
        <v>120</v>
      </c>
      <c r="C73" s="74">
        <v>45461</v>
      </c>
      <c r="D73" s="75">
        <v>7</v>
      </c>
      <c r="E73" s="76">
        <v>361725</v>
      </c>
      <c r="F73" s="76">
        <v>0</v>
      </c>
      <c r="G73" s="77">
        <f>ROUND(E73-F73,0)</f>
        <v>361725</v>
      </c>
      <c r="H73" s="77">
        <f>ROUND(G73*18%,0)</f>
        <v>65111</v>
      </c>
      <c r="I73" s="77">
        <f>G73+H73</f>
        <v>426836</v>
      </c>
      <c r="J73" s="77">
        <f>+G73*1%</f>
        <v>3617.25</v>
      </c>
      <c r="K73" s="77">
        <f>G73*5%</f>
        <v>18086.25</v>
      </c>
      <c r="L73" s="77"/>
      <c r="M73" s="77"/>
      <c r="N73" s="77"/>
      <c r="O73" s="31">
        <f>H73</f>
        <v>65111</v>
      </c>
      <c r="P73" s="77"/>
      <c r="Q73" s="77">
        <f>I73-SUM(J73:O73)</f>
        <v>340021.5</v>
      </c>
      <c r="R73" s="78"/>
      <c r="S73" s="79"/>
      <c r="T73" s="79"/>
      <c r="U73" s="79"/>
      <c r="V73" s="79">
        <v>340022</v>
      </c>
      <c r="W73" s="80" t="s">
        <v>53</v>
      </c>
      <c r="X73" s="79">
        <f>SUM(Q73:Q75,0)-SUM(V73:V75,0)</f>
        <v>-0.5</v>
      </c>
    </row>
    <row r="74" spans="1:24" ht="18" x14ac:dyDescent="0.25">
      <c r="A74" s="43">
        <v>64365</v>
      </c>
      <c r="B74" s="50" t="s">
        <v>42</v>
      </c>
      <c r="C74" s="45"/>
      <c r="D74" s="44">
        <v>7</v>
      </c>
      <c r="E74" s="46">
        <f>O73</f>
        <v>65111</v>
      </c>
      <c r="F74" s="46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9">
        <f>E74</f>
        <v>65111</v>
      </c>
      <c r="R74" s="47"/>
      <c r="S74" s="48"/>
      <c r="T74" s="48"/>
      <c r="U74" s="48"/>
      <c r="V74" s="48">
        <v>65111</v>
      </c>
      <c r="W74" s="33" t="s">
        <v>62</v>
      </c>
      <c r="X74" s="48"/>
    </row>
    <row r="75" spans="1:24" ht="18" x14ac:dyDescent="0.25">
      <c r="A75" s="43">
        <v>64365</v>
      </c>
      <c r="B75" s="50"/>
      <c r="C75" s="45"/>
      <c r="D75" s="44"/>
      <c r="E75" s="46"/>
      <c r="F75" s="46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48"/>
      <c r="R75" s="47"/>
      <c r="S75" s="48"/>
      <c r="T75" s="48"/>
      <c r="U75" s="48"/>
      <c r="V75" s="48"/>
      <c r="W75" s="33"/>
      <c r="X75" s="48"/>
    </row>
    <row r="76" spans="1:24" ht="16.5" x14ac:dyDescent="0.25">
      <c r="A76" s="36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5">
        <f>A77</f>
        <v>64294</v>
      </c>
      <c r="S76" s="40"/>
      <c r="T76" s="40"/>
      <c r="U76" s="40"/>
      <c r="V76" s="40"/>
      <c r="W76" s="36"/>
      <c r="X76" s="40"/>
    </row>
    <row r="77" spans="1:24" ht="33" x14ac:dyDescent="0.25">
      <c r="A77" s="43">
        <v>64294</v>
      </c>
      <c r="B77" s="50" t="s">
        <v>99</v>
      </c>
      <c r="C77" s="45">
        <v>45460</v>
      </c>
      <c r="D77" s="44">
        <v>6</v>
      </c>
      <c r="E77" s="46">
        <v>247450</v>
      </c>
      <c r="F77" s="46">
        <v>0</v>
      </c>
      <c r="G77" s="48">
        <f>ROUND(E77-F77,0)</f>
        <v>247450</v>
      </c>
      <c r="H77" s="48">
        <f>ROUND(G77*18%,0)</f>
        <v>44541</v>
      </c>
      <c r="I77" s="48">
        <f>G77+H77</f>
        <v>291991</v>
      </c>
      <c r="J77" s="48">
        <f>+G77*1%</f>
        <v>2474.5</v>
      </c>
      <c r="K77" s="48">
        <f>G77*5%</f>
        <v>12372.5</v>
      </c>
      <c r="L77" s="48"/>
      <c r="M77" s="48"/>
      <c r="N77" s="48"/>
      <c r="O77" s="49">
        <f>H77</f>
        <v>44541</v>
      </c>
      <c r="P77" s="48"/>
      <c r="Q77" s="51">
        <f>I77-SUM(J77:O77)</f>
        <v>232603</v>
      </c>
      <c r="R77" s="47"/>
      <c r="S77" s="48"/>
      <c r="T77" s="48"/>
      <c r="U77" s="48"/>
      <c r="V77" s="48">
        <v>150000</v>
      </c>
      <c r="W77" s="33" t="s">
        <v>58</v>
      </c>
      <c r="X77" s="48">
        <f>SUM(Q77:Q81,0)-SUM(V77:V81,0)</f>
        <v>2</v>
      </c>
    </row>
    <row r="78" spans="1:24" ht="18" x14ac:dyDescent="0.25">
      <c r="A78" s="43">
        <v>64294</v>
      </c>
      <c r="B78" s="50" t="s">
        <v>42</v>
      </c>
      <c r="C78" s="45"/>
      <c r="D78" s="44">
        <v>6</v>
      </c>
      <c r="E78" s="46">
        <f>O77</f>
        <v>44541</v>
      </c>
      <c r="F78" s="46"/>
      <c r="G78" s="48"/>
      <c r="H78" s="48"/>
      <c r="I78" s="48"/>
      <c r="J78" s="48"/>
      <c r="K78" s="48"/>
      <c r="L78" s="48"/>
      <c r="M78" s="48"/>
      <c r="N78" s="48"/>
      <c r="O78" s="48"/>
      <c r="P78" s="48"/>
      <c r="Q78" s="49">
        <f>E78</f>
        <v>44541</v>
      </c>
      <c r="R78" s="47"/>
      <c r="S78" s="48"/>
      <c r="T78" s="48"/>
      <c r="U78" s="48"/>
      <c r="V78" s="48">
        <v>82602</v>
      </c>
      <c r="W78" s="33" t="s">
        <v>64</v>
      </c>
      <c r="X78" s="48"/>
    </row>
    <row r="79" spans="1:24" ht="33" x14ac:dyDescent="0.25">
      <c r="A79" s="43">
        <v>64294</v>
      </c>
      <c r="B79" s="50" t="s">
        <v>100</v>
      </c>
      <c r="C79" s="45">
        <v>45498</v>
      </c>
      <c r="D79" s="44">
        <v>8</v>
      </c>
      <c r="E79" s="46">
        <v>106050</v>
      </c>
      <c r="F79" s="46">
        <v>0</v>
      </c>
      <c r="G79" s="48">
        <f>ROUND(E79-F79,0)</f>
        <v>106050</v>
      </c>
      <c r="H79" s="48">
        <f>ROUND(G79*18%,0)</f>
        <v>19089</v>
      </c>
      <c r="I79" s="48">
        <f>G79+H79</f>
        <v>125139</v>
      </c>
      <c r="J79" s="48">
        <f>+G79*1%</f>
        <v>1060.5</v>
      </c>
      <c r="K79" s="48">
        <f>G79*5%</f>
        <v>5302.5</v>
      </c>
      <c r="L79" s="48"/>
      <c r="M79" s="48"/>
      <c r="N79" s="48"/>
      <c r="O79" s="49">
        <f>H79</f>
        <v>19089</v>
      </c>
      <c r="P79" s="48"/>
      <c r="Q79" s="51">
        <f>I79-SUM(J79:O79)</f>
        <v>99687</v>
      </c>
      <c r="R79" s="47"/>
      <c r="S79" s="48"/>
      <c r="T79" s="48"/>
      <c r="U79" s="48"/>
      <c r="V79" s="48">
        <v>44541</v>
      </c>
      <c r="W79" s="33" t="s">
        <v>65</v>
      </c>
      <c r="X79" s="48"/>
    </row>
    <row r="80" spans="1:24" ht="18" x14ac:dyDescent="0.25">
      <c r="A80" s="43">
        <v>64294</v>
      </c>
      <c r="B80" s="50" t="s">
        <v>42</v>
      </c>
      <c r="C80" s="45">
        <v>45498</v>
      </c>
      <c r="D80" s="44">
        <v>8</v>
      </c>
      <c r="E80" s="46">
        <f>O79</f>
        <v>19089</v>
      </c>
      <c r="F80" s="46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9">
        <f>E80</f>
        <v>19089</v>
      </c>
      <c r="R80" s="47"/>
      <c r="S80" s="48"/>
      <c r="T80" s="48"/>
      <c r="U80" s="48"/>
      <c r="V80" s="48">
        <v>99686</v>
      </c>
      <c r="W80" s="33" t="s">
        <v>66</v>
      </c>
      <c r="X80" s="48"/>
    </row>
    <row r="81" spans="1:24" ht="18" x14ac:dyDescent="0.25">
      <c r="A81" s="43">
        <v>64294</v>
      </c>
      <c r="B81" s="50"/>
      <c r="C81" s="45"/>
      <c r="D81" s="44"/>
      <c r="E81" s="46"/>
      <c r="F81" s="46"/>
      <c r="G81" s="48"/>
      <c r="H81" s="48"/>
      <c r="I81" s="48"/>
      <c r="J81" s="48"/>
      <c r="K81" s="48"/>
      <c r="L81" s="48"/>
      <c r="M81" s="48"/>
      <c r="N81" s="48"/>
      <c r="O81" s="48"/>
      <c r="P81" s="48"/>
      <c r="Q81" s="52"/>
      <c r="R81" s="47"/>
      <c r="S81" s="48"/>
      <c r="T81" s="48"/>
      <c r="U81" s="48"/>
      <c r="V81" s="48">
        <v>19089</v>
      </c>
      <c r="W81" s="33" t="s">
        <v>67</v>
      </c>
      <c r="X81" s="48"/>
    </row>
    <row r="82" spans="1:24" ht="16.5" x14ac:dyDescent="0.25">
      <c r="A82" s="36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5">
        <f>A83</f>
        <v>66083</v>
      </c>
      <c r="S82" s="40"/>
      <c r="T82" s="40"/>
      <c r="U82" s="40"/>
      <c r="V82" s="40"/>
      <c r="W82" s="36"/>
      <c r="X82" s="40"/>
    </row>
    <row r="83" spans="1:24" ht="33" x14ac:dyDescent="0.25">
      <c r="A83" s="43">
        <v>66083</v>
      </c>
      <c r="B83" s="50" t="s">
        <v>101</v>
      </c>
      <c r="C83" s="45">
        <v>45535</v>
      </c>
      <c r="D83" s="44">
        <v>10</v>
      </c>
      <c r="E83" s="46">
        <v>395150</v>
      </c>
      <c r="F83" s="46"/>
      <c r="G83" s="48">
        <f>ROUND(E83-F83,0)</f>
        <v>395150</v>
      </c>
      <c r="H83" s="48">
        <f>ROUND(G83*18%,0)</f>
        <v>71127</v>
      </c>
      <c r="I83" s="48">
        <f>G83+H83</f>
        <v>466277</v>
      </c>
      <c r="J83" s="48">
        <f>+G83*1%</f>
        <v>3951.5</v>
      </c>
      <c r="K83" s="48">
        <f>G83*5%</f>
        <v>19757.5</v>
      </c>
      <c r="L83" s="48"/>
      <c r="M83" s="48"/>
      <c r="N83" s="48"/>
      <c r="O83" s="49">
        <f>H83</f>
        <v>71127</v>
      </c>
      <c r="P83" s="48"/>
      <c r="Q83" s="51">
        <f>I83-SUM(J83:O83)</f>
        <v>371441</v>
      </c>
      <c r="R83" s="47"/>
      <c r="S83" s="48"/>
      <c r="T83" s="48"/>
      <c r="U83" s="48"/>
      <c r="V83" s="48">
        <v>371440</v>
      </c>
      <c r="W83" s="33" t="s">
        <v>69</v>
      </c>
      <c r="X83" s="48">
        <f>SUM(Q83:Q84,0)-SUM(V83:V84,0)</f>
        <v>1</v>
      </c>
    </row>
    <row r="84" spans="1:24" ht="18" x14ac:dyDescent="0.25">
      <c r="A84" s="43">
        <v>66083</v>
      </c>
      <c r="B84" s="50" t="s">
        <v>70</v>
      </c>
      <c r="C84" s="45"/>
      <c r="D84" s="44">
        <v>10</v>
      </c>
      <c r="E84" s="46">
        <f>H83</f>
        <v>71127</v>
      </c>
      <c r="F84" s="46"/>
      <c r="G84" s="48"/>
      <c r="H84" s="48"/>
      <c r="I84" s="48"/>
      <c r="J84" s="48"/>
      <c r="K84" s="48"/>
      <c r="L84" s="48"/>
      <c r="M84" s="48"/>
      <c r="N84" s="48"/>
      <c r="O84" s="48"/>
      <c r="P84" s="48"/>
      <c r="Q84" s="49">
        <f>O83</f>
        <v>71127</v>
      </c>
      <c r="R84" s="47"/>
      <c r="S84" s="48"/>
      <c r="T84" s="48"/>
      <c r="U84" s="48"/>
      <c r="V84" s="48">
        <v>71127</v>
      </c>
      <c r="W84" s="33" t="s">
        <v>72</v>
      </c>
      <c r="X84" s="48"/>
    </row>
    <row r="85" spans="1:24" ht="16.5" x14ac:dyDescent="0.25">
      <c r="A85" s="36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5">
        <f>A86</f>
        <v>69410</v>
      </c>
      <c r="S85" s="40"/>
      <c r="T85" s="40"/>
      <c r="U85" s="40"/>
      <c r="V85" s="40"/>
      <c r="W85" s="36"/>
      <c r="X85" s="40"/>
    </row>
    <row r="86" spans="1:24" ht="33" x14ac:dyDescent="0.25">
      <c r="A86" s="43">
        <v>69410</v>
      </c>
      <c r="B86" s="50" t="s">
        <v>101</v>
      </c>
      <c r="C86" s="45">
        <v>45737</v>
      </c>
      <c r="D86" s="44">
        <v>15</v>
      </c>
      <c r="E86" s="46">
        <v>467950</v>
      </c>
      <c r="F86" s="46"/>
      <c r="G86" s="48">
        <f>ROUND(E86-F86,0)</f>
        <v>467950</v>
      </c>
      <c r="H86" s="48">
        <f>ROUND(G86*18%,0)</f>
        <v>84231</v>
      </c>
      <c r="I86" s="48">
        <f>G86+H86</f>
        <v>552181</v>
      </c>
      <c r="J86" s="48">
        <f>+G86*1%</f>
        <v>4679.5</v>
      </c>
      <c r="K86" s="48">
        <f>G86*5%</f>
        <v>23397.5</v>
      </c>
      <c r="L86" s="48"/>
      <c r="M86" s="48"/>
      <c r="N86" s="48"/>
      <c r="O86" s="49">
        <f>H86</f>
        <v>84231</v>
      </c>
      <c r="P86" s="48">
        <v>47950</v>
      </c>
      <c r="Q86" s="51">
        <f>I86-SUM(J86:P86)</f>
        <v>391923</v>
      </c>
      <c r="R86" s="47"/>
      <c r="S86" s="48"/>
      <c r="T86" s="48"/>
      <c r="U86" s="48"/>
      <c r="V86" s="48"/>
      <c r="W86" s="33"/>
      <c r="X86" s="48">
        <f>SUM(Q86:Q87,0)-SUM(V86:V87,0)</f>
        <v>391923</v>
      </c>
    </row>
    <row r="87" spans="1:24" ht="18" x14ac:dyDescent="0.25">
      <c r="A87" s="43">
        <v>69410</v>
      </c>
      <c r="B87" s="50" t="s">
        <v>70</v>
      </c>
      <c r="C87" s="45"/>
      <c r="D87" s="44">
        <v>15</v>
      </c>
      <c r="E87" s="46"/>
      <c r="F87" s="46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9">
        <f>E87</f>
        <v>0</v>
      </c>
      <c r="R87" s="47"/>
      <c r="S87" s="48"/>
      <c r="T87" s="48"/>
      <c r="U87" s="48"/>
      <c r="V87" s="48"/>
      <c r="W87" s="33"/>
      <c r="X87" s="48"/>
    </row>
    <row r="88" spans="1:24" ht="16.5" x14ac:dyDescent="0.25">
      <c r="A88" s="36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5">
        <f>A89</f>
        <v>69411</v>
      </c>
      <c r="S88" s="40"/>
      <c r="T88" s="40"/>
      <c r="U88" s="40"/>
      <c r="V88" s="40"/>
      <c r="W88" s="36"/>
      <c r="X88" s="40"/>
    </row>
    <row r="89" spans="1:24" ht="49.5" x14ac:dyDescent="0.25">
      <c r="A89" s="43">
        <v>69411</v>
      </c>
      <c r="B89" s="50" t="s">
        <v>102</v>
      </c>
      <c r="C89" s="45">
        <v>45754</v>
      </c>
      <c r="D89" s="44">
        <v>1</v>
      </c>
      <c r="E89" s="46">
        <v>508200</v>
      </c>
      <c r="F89" s="46">
        <v>14600</v>
      </c>
      <c r="G89" s="48">
        <f>ROUND(E89-F89,0)</f>
        <v>493600</v>
      </c>
      <c r="H89" s="48">
        <f>ROUND(G89*18%,0)</f>
        <v>88848</v>
      </c>
      <c r="I89" s="48">
        <f>G89+H89</f>
        <v>582448</v>
      </c>
      <c r="J89" s="48">
        <f>+G89*1%</f>
        <v>4936</v>
      </c>
      <c r="K89" s="48">
        <f>G89*5%</f>
        <v>24680</v>
      </c>
      <c r="L89" s="48"/>
      <c r="M89" s="48"/>
      <c r="N89" s="48"/>
      <c r="O89" s="49">
        <f>H89</f>
        <v>88848</v>
      </c>
      <c r="P89" s="48">
        <v>88200</v>
      </c>
      <c r="Q89" s="51">
        <f>I89-SUM(J89:P89)</f>
        <v>375784</v>
      </c>
      <c r="R89" s="47"/>
      <c r="S89" s="48"/>
      <c r="T89" s="48"/>
      <c r="U89" s="48"/>
      <c r="V89" s="48"/>
      <c r="W89" s="33"/>
      <c r="X89" s="48">
        <f>SUM(Q89:Q90,0)-SUM(V89:V90,0)</f>
        <v>375784</v>
      </c>
    </row>
    <row r="90" spans="1:24" ht="18" x14ac:dyDescent="0.25">
      <c r="A90" s="43">
        <v>69411</v>
      </c>
      <c r="B90" s="50" t="s">
        <v>70</v>
      </c>
      <c r="C90" s="45"/>
      <c r="D90" s="44">
        <v>1</v>
      </c>
      <c r="E90" s="46"/>
      <c r="F90" s="46"/>
      <c r="G90" s="48"/>
      <c r="H90" s="48"/>
      <c r="I90" s="48"/>
      <c r="J90" s="48"/>
      <c r="K90" s="48"/>
      <c r="L90" s="48"/>
      <c r="M90" s="48"/>
      <c r="N90" s="48"/>
      <c r="O90" s="48"/>
      <c r="P90" s="48"/>
      <c r="Q90" s="49">
        <f>E90</f>
        <v>0</v>
      </c>
      <c r="R90" s="47"/>
      <c r="S90" s="48"/>
      <c r="T90" s="48"/>
      <c r="U90" s="48"/>
      <c r="V90" s="48"/>
      <c r="W90" s="33"/>
      <c r="X90" s="48"/>
    </row>
    <row r="91" spans="1:24" ht="18.75" thickBot="1" x14ac:dyDescent="0.3">
      <c r="A91" s="43">
        <v>69411</v>
      </c>
      <c r="B91" s="50"/>
      <c r="C91" s="45"/>
      <c r="D91" s="44"/>
      <c r="E91" s="46"/>
      <c r="F91" s="46"/>
      <c r="G91" s="48"/>
      <c r="H91" s="48"/>
      <c r="I91" s="48"/>
      <c r="J91" s="48"/>
      <c r="K91" s="48"/>
      <c r="L91" s="48"/>
      <c r="M91" s="48"/>
      <c r="N91" s="48"/>
      <c r="O91" s="48"/>
      <c r="P91" s="48"/>
      <c r="Q91" s="52"/>
      <c r="R91" s="47"/>
      <c r="S91" s="48"/>
      <c r="T91" s="48"/>
      <c r="U91" s="48"/>
      <c r="V91" s="48"/>
      <c r="W91" s="48"/>
      <c r="X91" s="48"/>
    </row>
    <row r="92" spans="1:24" ht="18" x14ac:dyDescent="0.25">
      <c r="A92" s="53"/>
      <c r="B92" s="53"/>
      <c r="C92" s="53"/>
      <c r="D92" s="53"/>
      <c r="E92" s="53"/>
      <c r="F92" s="53"/>
      <c r="G92" s="53"/>
      <c r="H92" s="53"/>
      <c r="I92" s="53"/>
      <c r="J92" s="54"/>
      <c r="K92" s="54">
        <f t="shared" ref="K92:Q92" si="4">SUM(K8:K91)</f>
        <v>314012.84999999998</v>
      </c>
      <c r="L92" s="54">
        <f t="shared" si="4"/>
        <v>8259.4</v>
      </c>
      <c r="M92" s="54">
        <f t="shared" si="4"/>
        <v>8259.4</v>
      </c>
      <c r="N92" s="54">
        <f t="shared" si="4"/>
        <v>11100</v>
      </c>
      <c r="O92" s="54">
        <f t="shared" si="4"/>
        <v>978628</v>
      </c>
      <c r="P92" s="54">
        <f t="shared" si="4"/>
        <v>166165</v>
      </c>
      <c r="Q92" s="54">
        <f t="shared" si="4"/>
        <v>5697803.7199999997</v>
      </c>
      <c r="R92" s="55"/>
      <c r="S92" s="54"/>
      <c r="T92" s="54"/>
      <c r="U92" s="54"/>
      <c r="V92" s="54">
        <f>SUM(V8:V91)</f>
        <v>4800872</v>
      </c>
      <c r="W92" s="53"/>
      <c r="X92" s="54">
        <f>SUM(X6:X91)</f>
        <v>896931.72</v>
      </c>
    </row>
    <row r="93" spans="1:24" ht="18.75" thickBot="1" x14ac:dyDescent="0.3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56"/>
      <c r="S93" s="19"/>
      <c r="T93" s="19"/>
      <c r="U93" s="19"/>
      <c r="V93" s="57">
        <f>Q92-V92</f>
        <v>896931.71999999974</v>
      </c>
      <c r="W93" s="57"/>
      <c r="X93" s="57"/>
    </row>
    <row r="96" spans="1:24" ht="15.75" thickBot="1" x14ac:dyDescent="0.3"/>
    <row r="97" spans="12:15" ht="18" customHeight="1" thickBot="1" x14ac:dyDescent="0.3">
      <c r="L97" s="94" t="s">
        <v>5</v>
      </c>
      <c r="M97" s="95"/>
      <c r="N97" s="95"/>
      <c r="O97" s="96"/>
    </row>
    <row r="98" spans="12:15" ht="15.75" thickBot="1" x14ac:dyDescent="0.3">
      <c r="L98" s="97">
        <v>45796</v>
      </c>
      <c r="M98" s="95"/>
      <c r="N98" s="95"/>
      <c r="O98" s="96"/>
    </row>
    <row r="99" spans="12:15" ht="15.75" thickBot="1" x14ac:dyDescent="0.3">
      <c r="L99" s="92" t="s">
        <v>38</v>
      </c>
      <c r="M99" s="93"/>
      <c r="N99" s="92">
        <f>K92+L92+M92+N92</f>
        <v>341631.65</v>
      </c>
      <c r="O99" s="93"/>
    </row>
    <row r="100" spans="12:15" ht="15.75" thickBot="1" x14ac:dyDescent="0.3">
      <c r="L100" s="58" t="s">
        <v>39</v>
      </c>
      <c r="M100" s="58"/>
      <c r="N100" s="92">
        <f>V93</f>
        <v>896931.71999999974</v>
      </c>
      <c r="O100" s="93"/>
    </row>
    <row r="101" spans="12:15" ht="15.75" thickBot="1" x14ac:dyDescent="0.3">
      <c r="L101" s="65" t="s">
        <v>71</v>
      </c>
      <c r="M101" s="66"/>
      <c r="N101" s="90">
        <f>P92</f>
        <v>166165</v>
      </c>
      <c r="O101" s="91"/>
    </row>
    <row r="102" spans="12:15" ht="15.75" thickBot="1" x14ac:dyDescent="0.3">
      <c r="L102" s="88" t="s">
        <v>40</v>
      </c>
      <c r="M102" s="89"/>
      <c r="N102" s="90">
        <f t="shared" ref="N102" si="5">J94+K94+L94</f>
        <v>0</v>
      </c>
      <c r="O102" s="91"/>
    </row>
    <row r="103" spans="12:15" ht="15.75" thickBot="1" x14ac:dyDescent="0.3">
      <c r="L103" s="88" t="s">
        <v>41</v>
      </c>
      <c r="M103" s="89"/>
      <c r="N103" s="90">
        <f>O92-Q84-Q80-Q78-Q74-Q70-Q66-Q64-Q61-Q57-Q54-Q51-Q47-Q45-Q43-Q39-Q37-Q33-Q31-Q27-Q25-Q20-Q15-Q11-Q9-Q87-Q90</f>
        <v>173079.32</v>
      </c>
      <c r="O103" s="91"/>
    </row>
  </sheetData>
  <mergeCells count="10">
    <mergeCell ref="L103:M103"/>
    <mergeCell ref="N103:O103"/>
    <mergeCell ref="L99:M99"/>
    <mergeCell ref="L102:M102"/>
    <mergeCell ref="L97:O97"/>
    <mergeCell ref="L98:O98"/>
    <mergeCell ref="N99:O99"/>
    <mergeCell ref="N100:O100"/>
    <mergeCell ref="N102:O102"/>
    <mergeCell ref="N101:O101"/>
  </mergeCells>
  <pageMargins left="0.70866141732283472" right="0.70866141732283472" top="0.74803149606299213" bottom="0.74803149606299213" header="0.31496062992125984" footer="0.31496062992125984"/>
  <pageSetup scale="2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2024-04-20T09:57:54Z</cp:lastPrinted>
  <dcterms:created xsi:type="dcterms:W3CDTF">2022-06-10T14:11:52Z</dcterms:created>
  <dcterms:modified xsi:type="dcterms:W3CDTF">2025-06-03T06:32:54Z</dcterms:modified>
</cp:coreProperties>
</file>