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Sheet1!$U$1:$U$146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2" i="1" l="1"/>
  <c r="I132" i="1" s="1"/>
  <c r="S131" i="1"/>
  <c r="H129" i="1"/>
  <c r="K129" i="1" s="1"/>
  <c r="S128" i="1"/>
  <c r="H108" i="1"/>
  <c r="K132" i="1" l="1"/>
  <c r="L132" i="1"/>
  <c r="P132" i="1"/>
  <c r="J132" i="1"/>
  <c r="L129" i="1"/>
  <c r="R129" i="1" s="1"/>
  <c r="I129" i="1"/>
  <c r="L108" i="1"/>
  <c r="K108" i="1"/>
  <c r="I108" i="1"/>
  <c r="P108" i="1" s="1"/>
  <c r="F109" i="1" s="1"/>
  <c r="R109" i="1" s="1"/>
  <c r="H122" i="1"/>
  <c r="O135" i="1"/>
  <c r="H119" i="1"/>
  <c r="V116" i="1"/>
  <c r="R132" i="1" l="1"/>
  <c r="F133" i="1"/>
  <c r="R133" i="1" s="1"/>
  <c r="V132" i="1" s="1"/>
  <c r="J129" i="1"/>
  <c r="P129" i="1"/>
  <c r="F130" i="1" s="1"/>
  <c r="R130" i="1" s="1"/>
  <c r="V129" i="1" s="1"/>
  <c r="R108" i="1"/>
  <c r="J108" i="1"/>
  <c r="I122" i="1"/>
  <c r="P122" i="1" s="1"/>
  <c r="F123" i="1" s="1"/>
  <c r="R123" i="1" s="1"/>
  <c r="K122" i="1"/>
  <c r="L122" i="1"/>
  <c r="K119" i="1"/>
  <c r="L119" i="1"/>
  <c r="I119" i="1"/>
  <c r="P119" i="1" s="1"/>
  <c r="T135" i="1"/>
  <c r="V126" i="1"/>
  <c r="S125" i="1"/>
  <c r="R122" i="1" l="1"/>
  <c r="V122" i="1" s="1"/>
  <c r="F120" i="1"/>
  <c r="R120" i="1" s="1"/>
  <c r="J122" i="1"/>
  <c r="R119" i="1"/>
  <c r="J119" i="1"/>
  <c r="S118" i="1"/>
  <c r="H106" i="1"/>
  <c r="V104" i="1"/>
  <c r="S105" i="1"/>
  <c r="V119" i="1" l="1"/>
  <c r="I106" i="1"/>
  <c r="P106" i="1" s="1"/>
  <c r="F107" i="1" s="1"/>
  <c r="R107" i="1" s="1"/>
  <c r="K106" i="1"/>
  <c r="L106" i="1"/>
  <c r="J106" i="1" l="1"/>
  <c r="R106" i="1"/>
  <c r="V106" i="1" s="1"/>
  <c r="H111" i="1" l="1"/>
  <c r="K111" i="1" s="1"/>
  <c r="S110" i="1"/>
  <c r="L111" i="1" l="1"/>
  <c r="I111" i="1"/>
  <c r="M111" i="1"/>
  <c r="N111" i="1"/>
  <c r="H87" i="1"/>
  <c r="R111" i="1" l="1"/>
  <c r="J111" i="1"/>
  <c r="P111" i="1"/>
  <c r="F112" i="1" s="1"/>
  <c r="R112" i="1" s="1"/>
  <c r="M87" i="1"/>
  <c r="N87" i="1"/>
  <c r="I87" i="1"/>
  <c r="K87" i="1"/>
  <c r="L87" i="1"/>
  <c r="V111" i="1" l="1"/>
  <c r="R87" i="1"/>
  <c r="P87" i="1"/>
  <c r="F88" i="1" s="1"/>
  <c r="R88" i="1" s="1"/>
  <c r="J87" i="1"/>
  <c r="V87" i="1" l="1"/>
  <c r="H82" i="1"/>
  <c r="H92" i="1"/>
  <c r="L92" i="1" s="1"/>
  <c r="I82" i="1" l="1"/>
  <c r="P82" i="1" s="1"/>
  <c r="F83" i="1" s="1"/>
  <c r="R83" i="1" s="1"/>
  <c r="M82" i="1"/>
  <c r="N82" i="1"/>
  <c r="K82" i="1"/>
  <c r="L82" i="1"/>
  <c r="M92" i="1"/>
  <c r="N92" i="1"/>
  <c r="I92" i="1"/>
  <c r="P92" i="1" s="1"/>
  <c r="F93" i="1" s="1"/>
  <c r="R93" i="1" s="1"/>
  <c r="K92" i="1"/>
  <c r="H59" i="1"/>
  <c r="L59" i="1" s="1"/>
  <c r="R92" i="1" l="1"/>
  <c r="V92" i="1" s="1"/>
  <c r="R82" i="1"/>
  <c r="V82" i="1" s="1"/>
  <c r="J82" i="1"/>
  <c r="J92" i="1"/>
  <c r="M59" i="1"/>
  <c r="N59" i="1"/>
  <c r="K59" i="1"/>
  <c r="I59" i="1"/>
  <c r="P59" i="1" s="1"/>
  <c r="F60" i="1" s="1"/>
  <c r="R60" i="1" s="1"/>
  <c r="H25" i="1"/>
  <c r="L25" i="1" s="1"/>
  <c r="H45" i="1"/>
  <c r="N45" i="1" s="1"/>
  <c r="H33" i="1"/>
  <c r="K33" i="1" s="1"/>
  <c r="H66" i="1"/>
  <c r="L66" i="1" s="1"/>
  <c r="H62" i="1"/>
  <c r="K62" i="1" s="1"/>
  <c r="H70" i="1"/>
  <c r="K70" i="1" s="1"/>
  <c r="H78" i="1"/>
  <c r="H74" i="1"/>
  <c r="N74" i="1" s="1"/>
  <c r="H97" i="1"/>
  <c r="M97" i="1" s="1"/>
  <c r="V101" i="1"/>
  <c r="V30" i="1"/>
  <c r="S103" i="1"/>
  <c r="S100" i="1"/>
  <c r="S96" i="1"/>
  <c r="S91" i="1"/>
  <c r="S86" i="1"/>
  <c r="S81" i="1"/>
  <c r="S77" i="1"/>
  <c r="S73" i="1"/>
  <c r="S69" i="1"/>
  <c r="S65" i="1"/>
  <c r="S61" i="1"/>
  <c r="S58" i="1"/>
  <c r="S44" i="1"/>
  <c r="S48" i="1"/>
  <c r="S52" i="1"/>
  <c r="S40" i="1"/>
  <c r="S36" i="1"/>
  <c r="S32" i="1"/>
  <c r="S29" i="1"/>
  <c r="S24" i="1"/>
  <c r="S20" i="1"/>
  <c r="S16" i="1"/>
  <c r="S7" i="1"/>
  <c r="R59" i="1" l="1"/>
  <c r="V59" i="1" s="1"/>
  <c r="J59" i="1"/>
  <c r="N25" i="1"/>
  <c r="I25" i="1"/>
  <c r="M25" i="1"/>
  <c r="K25" i="1"/>
  <c r="M45" i="1"/>
  <c r="K45" i="1"/>
  <c r="L45" i="1"/>
  <c r="I45" i="1"/>
  <c r="P45" i="1" s="1"/>
  <c r="F46" i="1" s="1"/>
  <c r="R46" i="1" s="1"/>
  <c r="L33" i="1"/>
  <c r="R33" i="1" s="1"/>
  <c r="I33" i="1"/>
  <c r="P33" i="1" s="1"/>
  <c r="R34" i="1" s="1"/>
  <c r="K66" i="1"/>
  <c r="R66" i="1" s="1"/>
  <c r="I66" i="1"/>
  <c r="P66" i="1" s="1"/>
  <c r="F67" i="1" s="1"/>
  <c r="R67" i="1" s="1"/>
  <c r="L62" i="1"/>
  <c r="R62" i="1" s="1"/>
  <c r="I62" i="1"/>
  <c r="P62" i="1" s="1"/>
  <c r="F63" i="1" s="1"/>
  <c r="R63" i="1" s="1"/>
  <c r="I70" i="1"/>
  <c r="P70" i="1" s="1"/>
  <c r="F71" i="1" s="1"/>
  <c r="R71" i="1" s="1"/>
  <c r="M70" i="1"/>
  <c r="N70" i="1"/>
  <c r="L70" i="1"/>
  <c r="L78" i="1"/>
  <c r="I78" i="1"/>
  <c r="P78" i="1" s="1"/>
  <c r="F79" i="1" s="1"/>
  <c r="R79" i="1" s="1"/>
  <c r="M78" i="1"/>
  <c r="N78" i="1"/>
  <c r="K78" i="1"/>
  <c r="K74" i="1"/>
  <c r="L74" i="1"/>
  <c r="I74" i="1"/>
  <c r="M74" i="1"/>
  <c r="I97" i="1"/>
  <c r="J97" i="1" s="1"/>
  <c r="N97" i="1"/>
  <c r="K97" i="1"/>
  <c r="L97" i="1"/>
  <c r="H49" i="1"/>
  <c r="H41" i="1"/>
  <c r="H37" i="1"/>
  <c r="N37" i="1" s="1"/>
  <c r="H21" i="1"/>
  <c r="M21" i="1" s="1"/>
  <c r="H53" i="1"/>
  <c r="N53" i="1" s="1"/>
  <c r="H10" i="1"/>
  <c r="P10" i="1" s="1"/>
  <c r="F13" i="1" s="1"/>
  <c r="R13" i="1" s="1"/>
  <c r="H9" i="1"/>
  <c r="P9" i="1" s="1"/>
  <c r="F12" i="1" s="1"/>
  <c r="R12" i="1" s="1"/>
  <c r="H8" i="1"/>
  <c r="I8" i="1" s="1"/>
  <c r="P8" i="1" s="1"/>
  <c r="Q8" i="1"/>
  <c r="Q135" i="1" s="1"/>
  <c r="H17" i="1"/>
  <c r="P143" i="1" l="1"/>
  <c r="V33" i="1"/>
  <c r="V62" i="1"/>
  <c r="V66" i="1"/>
  <c r="P25" i="1"/>
  <c r="R26" i="1" s="1"/>
  <c r="F26" i="1"/>
  <c r="J25" i="1"/>
  <c r="R45" i="1"/>
  <c r="V45" i="1" s="1"/>
  <c r="J45" i="1"/>
  <c r="J70" i="1"/>
  <c r="J33" i="1"/>
  <c r="J66" i="1"/>
  <c r="J62" i="1"/>
  <c r="R70" i="1"/>
  <c r="V70" i="1" s="1"/>
  <c r="R78" i="1"/>
  <c r="V78" i="1" s="1"/>
  <c r="J78" i="1"/>
  <c r="R74" i="1"/>
  <c r="P74" i="1"/>
  <c r="F75" i="1" s="1"/>
  <c r="R75" i="1" s="1"/>
  <c r="J74" i="1"/>
  <c r="P97" i="1"/>
  <c r="F98" i="1" s="1"/>
  <c r="R98" i="1" s="1"/>
  <c r="R97" i="1"/>
  <c r="F11" i="1"/>
  <c r="R11" i="1" s="1"/>
  <c r="N21" i="1"/>
  <c r="M49" i="1"/>
  <c r="L49" i="1"/>
  <c r="I49" i="1"/>
  <c r="P49" i="1" s="1"/>
  <c r="F50" i="1" s="1"/>
  <c r="R50" i="1" s="1"/>
  <c r="K49" i="1"/>
  <c r="I41" i="1"/>
  <c r="P41" i="1" s="1"/>
  <c r="F42" i="1" s="1"/>
  <c r="R42" i="1" s="1"/>
  <c r="M41" i="1"/>
  <c r="K41" i="1"/>
  <c r="L41" i="1"/>
  <c r="I37" i="1"/>
  <c r="P37" i="1" s="1"/>
  <c r="F38" i="1" s="1"/>
  <c r="R38" i="1" s="1"/>
  <c r="M37" i="1"/>
  <c r="K37" i="1"/>
  <c r="L37" i="1"/>
  <c r="K21" i="1"/>
  <c r="L21" i="1"/>
  <c r="I21" i="1"/>
  <c r="K53" i="1"/>
  <c r="L53" i="1"/>
  <c r="I53" i="1"/>
  <c r="M53" i="1"/>
  <c r="L10" i="1"/>
  <c r="M10" i="1"/>
  <c r="N10" i="1"/>
  <c r="K10" i="1"/>
  <c r="M9" i="1"/>
  <c r="L9" i="1"/>
  <c r="N9" i="1"/>
  <c r="K9" i="1"/>
  <c r="I10" i="1"/>
  <c r="J10" i="1" s="1"/>
  <c r="I9" i="1"/>
  <c r="J9" i="1" s="1"/>
  <c r="J8" i="1"/>
  <c r="M8" i="1"/>
  <c r="N8" i="1"/>
  <c r="L8" i="1"/>
  <c r="K8" i="1"/>
  <c r="I17" i="1"/>
  <c r="P17" i="1" s="1"/>
  <c r="F18" i="1" s="1"/>
  <c r="R18" i="1" s="1"/>
  <c r="K17" i="1"/>
  <c r="L17" i="1"/>
  <c r="N135" i="1" l="1"/>
  <c r="M135" i="1"/>
  <c r="L135" i="1"/>
  <c r="R25" i="1"/>
  <c r="V25" i="1" s="1"/>
  <c r="P21" i="1"/>
  <c r="R22" i="1" s="1"/>
  <c r="F22" i="1"/>
  <c r="V74" i="1"/>
  <c r="V97" i="1"/>
  <c r="J41" i="1"/>
  <c r="R49" i="1"/>
  <c r="V49" i="1" s="1"/>
  <c r="J49" i="1"/>
  <c r="R41" i="1"/>
  <c r="V41" i="1" s="1"/>
  <c r="R37" i="1"/>
  <c r="V37" i="1" s="1"/>
  <c r="J37" i="1"/>
  <c r="J21" i="1"/>
  <c r="R9" i="1"/>
  <c r="R10" i="1"/>
  <c r="R53" i="1"/>
  <c r="P53" i="1"/>
  <c r="F54" i="1" s="1"/>
  <c r="R54" i="1" s="1"/>
  <c r="J53" i="1"/>
  <c r="R8" i="1"/>
  <c r="J17" i="1"/>
  <c r="R17" i="1" s="1"/>
  <c r="V17" i="1" s="1"/>
  <c r="P135" i="1" l="1"/>
  <c r="R21" i="1"/>
  <c r="V21" i="1" s="1"/>
  <c r="V8" i="1"/>
  <c r="P142" i="1"/>
  <c r="V53" i="1"/>
  <c r="V135" i="1" l="1"/>
  <c r="R135" i="1"/>
  <c r="T137" i="1" s="1"/>
  <c r="P144" i="1" s="1"/>
</calcChain>
</file>

<file path=xl/sharedStrings.xml><?xml version="1.0" encoding="utf-8"?>
<sst xmlns="http://schemas.openxmlformats.org/spreadsheetml/2006/main" count="180" uniqueCount="150">
  <si>
    <t>Amount</t>
  </si>
  <si>
    <t>UTR</t>
  </si>
  <si>
    <t xml:space="preserve">R A Bill </t>
  </si>
  <si>
    <t>Finishing and Painting</t>
  </si>
  <si>
    <t>Buwara Kalan Khatauli Village Pipe Laying Work</t>
  </si>
  <si>
    <t>12-09-2023 NEFT/AXISP00423960534/RIUP23/1974/YASHANK ENTERPRISE  148500.00</t>
  </si>
  <si>
    <t>17-10-2023 NEFT/AXISP00435088307/RIUP23/2464/YASHANK ENTERPRISE/SBIN0016607 107316.00</t>
  </si>
  <si>
    <t>Yashank Enterprises</t>
  </si>
  <si>
    <t>10-11-2023 NEFT/AXISP00443464526/RIUP23/3256/YASHANK ENTERPRISE/SBIN0016607 198000.00</t>
  </si>
  <si>
    <t>18-09-2023 NEFT/AXISP00425751844/RIUP23/2098/YASHANK ENTERPRISE/SBIN0016607 99000.00</t>
  </si>
  <si>
    <t>01-11-2023 NEFT/AXISP00439227016/RIUP23/3008/YASHANK ENTERPRISE/SBIN0016607 79536.00</t>
  </si>
  <si>
    <t>27-09-2023 NEFT/AXISP00427829831/RIUP23/2338/YASHANK ENTERPRISE/SBIN0016607 148500.00</t>
  </si>
  <si>
    <t>13-11-2023 NEFT/AXISP00416756862/RIUP23/3277/YASHANK ENTERPRISES 346500.00</t>
  </si>
  <si>
    <t>26-10-2023 NEFT/AXISP00437006005/RIUP23/2880/YASHANK ENTERPRISE/SBIN0016607 198000.00</t>
  </si>
  <si>
    <t>22-11-2023 NEFT/AXISP00445662197/RIUP23/3376/YASHANK ENTERPRISE/SBIN0016607 ₹ 1,48,500.00</t>
  </si>
  <si>
    <t>Samuli village Pipline work</t>
  </si>
  <si>
    <t>01-12-2023 NEFT/AXISP00448554463/RIUP23/3551/YASHANK ENTERPRISE/SBIN0016607 ₹ 1,98,000.00</t>
  </si>
  <si>
    <t>30-11-2023 NEFT/AXISP00447912057/RIUP23/3478/YASHANK ENTERPRISE/SBIN0016607 245309.00</t>
  </si>
  <si>
    <t>06-12-2023 NEFT/AXISP00450230176/RIUP23/3627/YASHANK ENTERPRISE/SBIN0016607 198000.00</t>
  </si>
  <si>
    <t>15-12-2023 NEFT/AXISP00448856963/RIUP23/3740/YASHANK ENTERPRISE/SBIN0016607 ₹ 925481.00</t>
  </si>
  <si>
    <t>01-01-2024 NEFT/AXISP00457977969/RIUP23/4033/YASHANK ENTERPRISE/SBIN0016607 ₹ 3,22,884.00</t>
  </si>
  <si>
    <t>24-11-2023 NEFT/AXISP00446292730/RIUP23/3401/YASHANK ENTERPRISE/SBIN0016607 198000.00</t>
  </si>
  <si>
    <t>01-01-2024 NEFT/AXISP00457977968/RIUP23/4008/YASHANK ENTERPRISE/SBIN0016607 ₹ 2,39,188.00</t>
  </si>
  <si>
    <t xml:space="preserve">GST </t>
  </si>
  <si>
    <t>24-11-2023 NEFT/AXISP00446292731/RIUP23/3402/YASHANK ENTERPRISE/SBIN0016607 198000.00</t>
  </si>
  <si>
    <t>15-12-2023 NEFT/AXISP00453272894/RIUP23/3742/YASHANK ENTERPRISE/SBIN0016607 410516.00</t>
  </si>
  <si>
    <t>18-12-2023 NEFT/AXISP00453885478/RIUP23/3826/YASHANK ENTERPRISE/SBIN0016607 77683.00</t>
  </si>
  <si>
    <t>15-12-2023 NEFT/AXISP00447458963/RIUP23/3741/YASHANK ENTERPRISE/SBIN0016607 ₹ 354434.00</t>
  </si>
  <si>
    <t>GST Release Note</t>
  </si>
  <si>
    <t xml:space="preserve">Total Hold </t>
  </si>
  <si>
    <t>Advance / Surplus</t>
  </si>
  <si>
    <t>Debit</t>
  </si>
  <si>
    <t>29-11-2023 NEFT/AXISP00447355242/RIUP23/3495/YASHANK ENTERPRISE/SBIN0016607 198000.00</t>
  </si>
  <si>
    <t>17-01-2024 NEFT/AXISP00463099913/RIUP23/4290/YASHANK ENTERPRISE/SBIN0016607 198000.00</t>
  </si>
  <si>
    <t>09-01-2024 NEFT/AXISP00460826678/RIUP23/4176/YASHANK ENTERPRISE/SBIN0016607 198000.00</t>
  </si>
  <si>
    <t>09-01-2024 NEFT/AXISP00460826677/RIUP23/4175/YASHANK ENTERPRISE/SBIN0016607 198000.00</t>
  </si>
  <si>
    <t>09-01-2024 NEFT/AXISP00460826676/RIUP23/4174/YASHANK ENTERPRISE/SBIN0016607 198000.00</t>
  </si>
  <si>
    <t>04-01-2024 NEFT/AXISP00459090343/RIUP23/4101/YASHANK ENTERPRISE/SBIN0016607 198000.00</t>
  </si>
  <si>
    <t>19-12-2023 NEFT/AXISP00454102599/RIUP23/3864/YASHANK ENTERPRISE/SBIN0016607 247500.00</t>
  </si>
  <si>
    <t>14-12-2023 NEFT/AXISP00452878945/RIUP23/3752/YASHANK ENTERPRISE/SBIN0016607 99000.00</t>
  </si>
  <si>
    <t>14-12-2023 NEFT/AXISP00452878856/RIUP23/3750/YASHANK ENTERPRISE/SBIN0016607 148500.00</t>
  </si>
  <si>
    <t>06-12-2023 NEFT/AXISP00450230177/RIUP23/3628/YASHANK ENTERPRISE/SBIN0016607 247500.00</t>
  </si>
  <si>
    <t>Village Wise Advance</t>
  </si>
  <si>
    <t>25-01-2024 NEFT/AXISP00464983354/RIUP23/4473/YASHANK ENTERPRISE/SBIN0016607 ₹ 1,48,500.00</t>
  </si>
  <si>
    <t>25-01-2024 NEFT/AXISP00464876198/RIUP23/4462/YASHANK ENTERPRISE/SBIN0016607 198000.00</t>
  </si>
  <si>
    <t>31-01-2024 NEFT/AXISP00466285366/RIUP23/4512/YASHANK ENTERPRISE/SBIN0016607 ₹ 2,09,294.00</t>
  </si>
  <si>
    <t>31-01-2024 NEFT/AXISP00466285365/RIUP23/4514/YASHANK ENTERPRISE/SBIN0016607 ₹ 1,34,726.00</t>
  </si>
  <si>
    <t>31-01-2024 NEFT/AXISP00466285364/RIUP23/4513/YASHANK ENTERPRISE/SBIN0016607 ₹ 1,71,028.00</t>
  </si>
  <si>
    <t>24-01-2024 NEFT/AXISP00464671615/RIUP23/4391/YASHANK ENTERPRISE/SBIN0016607 118379.00</t>
  </si>
  <si>
    <t>24-01-2024 NEFT/AXISP00464671614/RIUP23/4390/YASHANK ENTERPRISE/SBIN0016607 67058.00</t>
  </si>
  <si>
    <t>23-01-2024 NEFT/AXISP00464221609/RIUP23/4392/YASHANK ENTERPRISE/SBIN0016607 130396.00</t>
  </si>
  <si>
    <t>23-01-2024 NEFT/AXISP00464221608/RIUP23/4393/YASHANK ENTERPRISE/SBIN0016607 106343.00</t>
  </si>
  <si>
    <t>24-01-2024 NEFT/AXISP00464671613/RIUP23/4444/YASHANK ENTERPRISE/SBIN0016607 106007.00</t>
  </si>
  <si>
    <t>13-10-2023 NEFT/AXISP00434019645/RIUP23/2632/YASHANK ENTERPRISE/SBIN0016607 148500.00</t>
  </si>
  <si>
    <t>23-01-2024 NEFT/AXISP00464221606/RIUP23/4297/YASHANK ENTERPRISE/SBIN0016607 34188.00</t>
  </si>
  <si>
    <t>13-02-2024 NEFT/AXISP00471059300/RIUP23/4485/YASHANK ENTERPRISE/SBIN0016607 ₹ 2,25,988.00</t>
  </si>
  <si>
    <t>23-01-2024 NEFT/AXISP00464221607/RIUP23/4296/YASHANK ENTERPRISE/SBIN0016607 63012.00</t>
  </si>
  <si>
    <t>Nil</t>
  </si>
  <si>
    <t>23-02-2024 NEFT/AXISP00473725242/RIUP23/4798/YASHANK ENTERPRISE/SBIN0016607 ₹ 1,74,390.00</t>
  </si>
  <si>
    <t>23-02-2024 NEFT/AXISP00473458156/RIUP23/4803/YASHANK ENTERPRISE/SBIN0016607 218788.00</t>
  </si>
  <si>
    <t>23-02-2024 NEFT/AXISP00473725241/RIUP23/4799/YASHANK ENTERPRISE/SBIN0016607 ₹ 1,74,390.00</t>
  </si>
  <si>
    <t>23-02-2024 NEFT/AXISP00473458155/RIUP23/4788/YASHANK ENTERPRISE/SBIN0016607 346012.00</t>
  </si>
  <si>
    <t>GST Remaining</t>
  </si>
  <si>
    <t>GST</t>
  </si>
  <si>
    <t>20-03-2024 NEFT/AXISP00482717101/RIUP23/5067A/YASHANK ENTERPRISE/SBIN0016607 200000.00</t>
  </si>
  <si>
    <t>20-03-2024 NEFT/AXISP00482717118/RIUP23/5112/YASHANK ENTERPRISE/SBIN0016607 437367.00</t>
  </si>
  <si>
    <t>14-03-2024 NEFT/AXISP00480996459/RIUP23/4802/YASHANK ENTERPRISE/SBIN0016607 223890.00</t>
  </si>
  <si>
    <t>07-05-2024 NEFT/AXISP00497844236/RIUP24/0344/YASHANK ENTERPRISE/SBIN0016607 153114.00</t>
  </si>
  <si>
    <t>14-05-2024 NEFT/AXISP00499706360/RIUP24/0475/YASHANK ENTERPRISE/SBIN0016607 150000.00</t>
  </si>
  <si>
    <t>18-05-2024 NEFT/AXISP00501160939/RIUP24/0166/YASHANK ENTERPRISE/SBIN0016607 89764.00</t>
  </si>
  <si>
    <t>18-05-2024 NEFT/AXISP00501160937/RIUP24/0175/YASHANK ENTERPRISE/SBIN0016607 154548.00</t>
  </si>
  <si>
    <t>18-05-2024 NEFT/AXISP00501160940/RIUP24/0168/YASHANK ENTERPRISE/SBIN0016607 80933.00</t>
  </si>
  <si>
    <t>18-05-2024 NEFT/AXISP00501160941/RIUP24/0172/YASHANK ENTERPRISE/SBIN0016607 144368.00</t>
  </si>
  <si>
    <t>DPR Hold</t>
  </si>
  <si>
    <t>01-06-2024 NEFT/AXISP00505106985/RIUP24/0170/YASHANK ENTERPRISE/SBIN0016607 61830.00</t>
  </si>
  <si>
    <t>01-06-2024 NEFT/AXISP00505106984/RIUP24/0169/YASHANK ENTERPRISE/SBIN0016607 61830.00</t>
  </si>
  <si>
    <t>29-04-2024 NEFT/AXISP00494414233/RIUP24/0171/YASHANK ENTERPRISE/SBIN0016607 61830.00</t>
  </si>
  <si>
    <t>21-06-2024 NEFT/AXISP00510912034/RIUP24/0938/YASHANK ENTERPRISE/SBIN0016607 99000.00</t>
  </si>
  <si>
    <t xml:space="preserve">Yashank Enterprises </t>
  </si>
  <si>
    <t>04-07-2024 NEFT/AXISP00515401666/RIUP24/0540/YASHANK ENTERPRISE/SBIN0016607 250000.00</t>
  </si>
  <si>
    <t>21-06-2024 NEFT/AXISP00511014631/RIUP24/0174/YASHANK ENTERPRISE/SBIN0016607 135040.00</t>
  </si>
  <si>
    <t>20-06-2024 NEFT/AXISP00510553856/RIUP24/0176/YASHANK ENTERPRISE/SBIN0016607 153007.00</t>
  </si>
  <si>
    <t>22-07-2024 NEFT/AXISP00520480174/RIUP24/1040/YASHANK ENTERPRISE/SBIN0016607 150000.00</t>
  </si>
  <si>
    <t>22-07-2024 NEFT/AXISP00520480182/RIUP24/0167/YASHANK ENTERPRISE/SBIN0016607 54772.00</t>
  </si>
  <si>
    <t>22-07-2024 NEFT/AXISP00520480179/RIUP24/1229/YASHANK ENTERPRISE/SBIN0016607 113692.00</t>
  </si>
  <si>
    <t>26-04-2024 NEFT/AXISP00493991579/RIUP24/0244/YASHANK ENTERPRISE/SBIN0016607 208680.00</t>
  </si>
  <si>
    <t>08-08-2024 NEFT/AXISP00526375821/RIUP24/1394/YASHANK ENTERPRISE/SBIN0016607 150000.00</t>
  </si>
  <si>
    <t>08-08-2024 NEFT/AXISP00526375816/RIUP24/1253/YASHANK ENTERPRISE/SBIN0016607 114661.00</t>
  </si>
  <si>
    <t>20-08-2024 NEFT/AXISP00530112318/RIUP24/1502/YASHANK ENTERPRISE/SBIN0016607 132660.00</t>
  </si>
  <si>
    <t>20-08-2024 NEFT/AXISP00530112326/RIUP24/0173/YASHANK ENTERPRISE/SBIN0016607 101381.00</t>
  </si>
  <si>
    <t>08-08-2024 NEFT/AXISP00526375820/RIUP24/1393/YASHANK ENTERPRISE/SBIN0016607 99000.00</t>
  </si>
  <si>
    <t>13-09-2024 NEFT/AXISP00540466588/RIUP24/1794/YASHANK ENTERPRISE/SBIN0016607 99000.00</t>
  </si>
  <si>
    <t>13-09-2024 NEFT/AXISP00540466587/RIUP24/1594/YASHANK ENTERPRISE/SBIN0016607 156160.00</t>
  </si>
  <si>
    <t>gst</t>
  </si>
  <si>
    <t>28-06-2024 NEFT/AXISP00512718430/RIUP24/0996/YASHANK ENTERPRISE/SBIN0016607 99000.00</t>
  </si>
  <si>
    <t>31-08-2024 NEFT/AXISP00534333412/RIUP24/1156/YASHANK ENTERPRISE/SBIN0016607 ₹ 39,960.00</t>
  </si>
  <si>
    <t>14-01-2025 NEFT/AXISP00598257725/RIUP24/2942/YASHANK ENTERPRISE/SBIN0016607 117847.00</t>
  </si>
  <si>
    <t>24-03-2025 NEFT/AXISP00637858122/RIUP24/3203/YASHANK ENTERPRISE/SBIN0016607 43234.00</t>
  </si>
  <si>
    <t>24-03-2025 NEFT/AXISP00637858121/RIUP24/3202/YASHANK ENTERPRISE/SBIN0016607 21960.00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</si>
  <si>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</si>
  <si>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</si>
  <si>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</si>
  <si>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</si>
  <si>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</si>
  <si>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</si>
  <si>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</si>
  <si>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</si>
  <si>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</si>
  <si>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</si>
  <si>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</si>
  <si>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</si>
  <si>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</si>
  <si>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</si>
  <si>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</si>
  <si>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</si>
  <si>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</si>
  <si>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</si>
  <si>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</si>
  <si>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</si>
  <si>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Rampur Village Reinstating of GP work</t>
  </si>
  <si>
    <t>Saidpur village  - Khatauli block - pipeline work</t>
  </si>
  <si>
    <t>Chacharpur village  - Khatauli block - pipeline work</t>
  </si>
  <si>
    <t xml:space="preserve">Wazidpur Khurd village  - Khatauli - pipeline work </t>
  </si>
  <si>
    <t>Bahpur village  - Khatauli - PH work</t>
  </si>
  <si>
    <t xml:space="preserve">Mohiddinpur village  - Khataulli - Pipeline work </t>
  </si>
  <si>
    <t>Bhoopkheri village - Khatauli - pipeline work</t>
  </si>
  <si>
    <t>JANSATH village BALANCE PIPELINE &amp; REINSTATEMENT WORK  BLOCK JANSATH</t>
  </si>
  <si>
    <t xml:space="preserve">MUJAHIDPUR village BALANCE PIPELINE &amp; REINSTATEMENT WORK  AT MUJAHIDPUR </t>
  </si>
  <si>
    <t>SAIDIPUR RAJU village BALANCE PIPELINE &amp; REINSTATEMENT WORK  AT SAIDIPUR RAJU  BLOCK JANSATH</t>
  </si>
  <si>
    <t>YAHIYAPUR  village CONSTRUCTION OF PUMP HOUSE WORK  AT YAHIYAPUR  BLOCK KHATAULI</t>
  </si>
  <si>
    <t>WAZIDPUR village ONSTRUCTION OF PUMP HOUSE WORK  AT WAZIDPUR KHURD  BLOCK KHATAULI</t>
  </si>
  <si>
    <t xml:space="preserve">MORKUKKA village BALANCE PIPELINE &amp; REINSTATEMENT WORK  AT MORKUKKA  BLOCK SHAHPUR </t>
  </si>
  <si>
    <t>AHRORA village BALANCE REINSTATEMENT  WORK  AT AHRORA  BLOCK JANSATH</t>
  </si>
  <si>
    <t>PALDA village REINSTATEMENT WORK  AT PALDA  BLOCK SHAHPUR</t>
  </si>
  <si>
    <t>RETTANAGLA village BALANCE REINSTATEMENT WORK  AT RETTANAGLA  BLOCK PURKAZI</t>
  </si>
  <si>
    <t>SAFIPUR PATTI village BALANCE REINSTATEMENT WORK  AT SAFIPUR PATTI BLOCK BUDHANA</t>
  </si>
  <si>
    <t xml:space="preserve">KUTUBPUR village BALANCE REINSTATEMENT WORK  AT KUTUBPUR  BLOCK PURKAZI </t>
  </si>
  <si>
    <t xml:space="preserve">SHAHBAZPUR TIGAI village BALANCE REINSTATEMENT WORK  AT SHAHBAZPUR TIGAI  BLOCK KHATAULI </t>
  </si>
  <si>
    <t>BHOHJHAHERI VILLAGE BALANCE REINSTATEMENT &amp; FHTC WORK  AT BHOHJHAHERI VILLAGE  BLOCK PURKAZI</t>
  </si>
  <si>
    <t>CHAMRAWALA village BALANCE REINSTATEMENT &amp; FHTC WORK  AT CHAMRAWALA  BLOCK PURKAZI</t>
  </si>
  <si>
    <t xml:space="preserve">ANTWARA village CONSTRUCTION OF PUMP HOUSE WORK  AT ANTWARA </t>
  </si>
  <si>
    <t xml:space="preserve">MUBARIKPUR village  RR work </t>
  </si>
  <si>
    <t xml:space="preserve">Antwara village  - BW work </t>
  </si>
  <si>
    <t>RAIPUR NAGLI village CONSTRUCTION OF BOUNDARY WALL WORK  AT RAIPUR NAGLI</t>
  </si>
  <si>
    <t xml:space="preserve">Phulat village  - BW work </t>
  </si>
  <si>
    <t>JABARDASTPUR URF MANTODI village BOUNDARY WALL WORK  AT JABARDASTPUR URF MANTODI  BLOCK -JANSATH</t>
  </si>
  <si>
    <t xml:space="preserve">RASOOLPUR KAILORA KHATAULI  village CONSTRUCTION OF APPROACH ROAD, AREA  DEVELOPMENT work -RASOOLPUR KAILORA KHATAULI </t>
  </si>
  <si>
    <t>KHATAULI village CONSTRUCTION OF WATER RECHARGE UNIT work  KHATAULI</t>
  </si>
  <si>
    <t>Hold Amount against Material</t>
  </si>
  <si>
    <t>Hydro_Testing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</si>
</sst>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7" fillId="2" borderId="1" xfId="0" applyNumberFormat="1" applyFont="1" applyFill="1" applyBorder="1" applyAlignment="1">
      <alignment vertical="center"/>
    </xf>
    <xf numFmtId="4" fontId="7" fillId="2" borderId="2" xfId="0" applyNumberFormat="1" applyFont="1" applyFill="1" applyBorder="1" applyAlignment="1">
      <alignment horizontal="right" vertical="center"/>
    </xf>
    <xf numFmtId="0" fontId="0" fillId="3" borderId="0" xfId="0" applyFill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6" fillId="0" borderId="1" xfId="0" applyNumberFormat="1" applyFont="1" applyBorder="1"/>
    <xf numFmtId="43" fontId="3" fillId="2" borderId="1" xfId="1" applyNumberFormat="1" applyFont="1" applyFill="1" applyBorder="1" applyAlignment="1">
      <alignment horizontal="right"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 wrapText="1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43" fontId="9" fillId="5" borderId="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/>
    </xf>
    <xf numFmtId="4" fontId="7" fillId="2" borderId="1" xfId="0" applyNumberFormat="1" applyFont="1" applyFill="1" applyBorder="1" applyAlignment="1">
      <alignment horizontal="right" vertical="center"/>
    </xf>
    <xf numFmtId="4" fontId="7" fillId="2" borderId="5" xfId="0" applyNumberFormat="1" applyFont="1" applyFill="1" applyBorder="1" applyAlignment="1">
      <alignment vertical="center"/>
    </xf>
    <xf numFmtId="43" fontId="10" fillId="2" borderId="1" xfId="1" applyNumberFormat="1" applyFont="1" applyFill="1" applyBorder="1" applyAlignment="1">
      <alignment vertical="center" wrapText="1"/>
    </xf>
    <xf numFmtId="0" fontId="12" fillId="0" borderId="0" xfId="0" applyFont="1"/>
    <xf numFmtId="0" fontId="0" fillId="0" borderId="0" xfId="0" applyFont="1"/>
    <xf numFmtId="0" fontId="12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14" fontId="12" fillId="2" borderId="3" xfId="0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43" fontId="13" fillId="2" borderId="3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 wrapText="1"/>
    </xf>
    <xf numFmtId="15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4" fontId="8" fillId="2" borderId="7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46"/>
  <sheetViews>
    <sheetView tabSelected="1" topLeftCell="A10" zoomScaleNormal="100" workbookViewId="0">
      <selection activeCell="C16" sqref="C16"/>
    </sheetView>
  </sheetViews>
  <sheetFormatPr defaultColWidth="9" defaultRowHeight="15" x14ac:dyDescent="0.25"/>
  <cols>
    <col min="1" max="1" width="10.140625" style="5" customWidth="1"/>
    <col min="2" max="2" width="41" style="5" customWidth="1"/>
    <col min="3" max="3" width="12" style="5" bestFit="1" customWidth="1"/>
    <col min="4" max="4" width="16.42578125" style="5" customWidth="1"/>
    <col min="5" max="5" width="10.140625" style="5" bestFit="1" customWidth="1"/>
    <col min="6" max="6" width="13.140625" style="5" bestFit="1" customWidth="1"/>
    <col min="7" max="7" width="12" style="5" bestFit="1" customWidth="1"/>
    <col min="8" max="8" width="13.140625" style="5" bestFit="1" customWidth="1"/>
    <col min="9" max="9" width="12.42578125" style="1" bestFit="1" customWidth="1"/>
    <col min="10" max="10" width="13.140625" style="1" bestFit="1" customWidth="1"/>
    <col min="11" max="11" width="10.42578125" style="5" bestFit="1" customWidth="1"/>
    <col min="12" max="12" width="13.85546875" style="5" bestFit="1" customWidth="1"/>
    <col min="13" max="13" width="15" style="5" bestFit="1" customWidth="1"/>
    <col min="14" max="14" width="20.28515625" style="5" bestFit="1" customWidth="1"/>
    <col min="15" max="15" width="11.140625" style="5" bestFit="1" customWidth="1"/>
    <col min="16" max="16" width="15" style="5" bestFit="1" customWidth="1"/>
    <col min="17" max="17" width="14.85546875" style="5" customWidth="1"/>
    <col min="18" max="18" width="16.85546875" style="5" bestFit="1" customWidth="1"/>
    <col min="19" max="19" width="6.7109375" style="5" bestFit="1" customWidth="1"/>
    <col min="20" max="20" width="16.85546875" style="5" bestFit="1" customWidth="1"/>
    <col min="21" max="21" width="97.5703125" style="5" bestFit="1" customWidth="1"/>
    <col min="22" max="22" width="15" style="5" bestFit="1" customWidth="1"/>
    <col min="23" max="16384" width="9" style="5"/>
  </cols>
  <sheetData>
    <row r="1" spans="1:58" x14ac:dyDescent="0.25">
      <c r="A1" s="52" t="s">
        <v>99</v>
      </c>
      <c r="B1" s="5" t="s">
        <v>7</v>
      </c>
      <c r="F1" s="8"/>
      <c r="G1" s="8"/>
      <c r="H1" s="8"/>
    </row>
    <row r="2" spans="1:58" ht="21" x14ac:dyDescent="0.25">
      <c r="A2" s="52" t="s">
        <v>100</v>
      </c>
      <c r="B2" s="53" t="s">
        <v>103</v>
      </c>
      <c r="C2" s="2"/>
      <c r="D2" s="2"/>
      <c r="H2" s="3"/>
      <c r="J2" s="3"/>
      <c r="K2" s="4"/>
      <c r="L2" s="4"/>
      <c r="M2" s="4"/>
      <c r="N2" s="4"/>
      <c r="O2" s="4"/>
      <c r="P2" s="4"/>
      <c r="Q2" s="4"/>
      <c r="R2" s="4"/>
      <c r="S2" s="4"/>
      <c r="V2" s="4"/>
    </row>
    <row r="3" spans="1:58" ht="21" x14ac:dyDescent="0.25">
      <c r="A3" s="52" t="s">
        <v>101</v>
      </c>
      <c r="B3" s="53" t="s">
        <v>104</v>
      </c>
      <c r="C3" s="2"/>
      <c r="D3" s="2"/>
      <c r="H3" s="3"/>
      <c r="J3" s="3"/>
      <c r="K3" s="4"/>
      <c r="L3" s="4"/>
      <c r="M3" s="4"/>
      <c r="N3" s="4"/>
      <c r="O3" s="4"/>
      <c r="P3" s="4"/>
      <c r="Q3" s="4"/>
      <c r="R3" s="4"/>
      <c r="S3" s="4"/>
      <c r="V3" s="4"/>
    </row>
    <row r="4" spans="1:58" ht="15.75" thickBot="1" x14ac:dyDescent="0.3">
      <c r="A4" s="52" t="s">
        <v>102</v>
      </c>
      <c r="B4" s="53" t="s">
        <v>104</v>
      </c>
      <c r="C4" s="4"/>
      <c r="D4" s="4"/>
      <c r="E4" s="4"/>
      <c r="F4" s="4"/>
      <c r="G4" s="4"/>
      <c r="H4" s="4"/>
      <c r="I4" s="6"/>
      <c r="J4" s="6"/>
      <c r="K4" s="4"/>
      <c r="L4" s="4"/>
      <c r="M4" s="4"/>
      <c r="N4" s="4"/>
      <c r="O4" s="4"/>
      <c r="S4" s="31"/>
      <c r="T4" s="7"/>
      <c r="U4" s="7"/>
    </row>
    <row r="5" spans="1:58" ht="30" x14ac:dyDescent="0.25">
      <c r="A5" s="54" t="s">
        <v>105</v>
      </c>
      <c r="B5" s="55" t="s">
        <v>106</v>
      </c>
      <c r="C5" s="56" t="s">
        <v>107</v>
      </c>
      <c r="D5" s="36" t="s">
        <v>2</v>
      </c>
      <c r="E5" s="57" t="s">
        <v>108</v>
      </c>
      <c r="F5" s="55" t="s">
        <v>109</v>
      </c>
      <c r="G5" s="55" t="s">
        <v>110</v>
      </c>
      <c r="H5" s="57" t="s">
        <v>111</v>
      </c>
      <c r="I5" s="58" t="s">
        <v>112</v>
      </c>
      <c r="J5" s="59" t="s">
        <v>0</v>
      </c>
      <c r="K5" s="55" t="s">
        <v>113</v>
      </c>
      <c r="L5" s="55" t="s">
        <v>114</v>
      </c>
      <c r="M5" s="12" t="s">
        <v>149</v>
      </c>
      <c r="N5" s="12" t="s">
        <v>115</v>
      </c>
      <c r="O5" s="12" t="s">
        <v>3</v>
      </c>
      <c r="P5" s="12" t="s">
        <v>116</v>
      </c>
      <c r="Q5" s="12" t="s">
        <v>148</v>
      </c>
      <c r="R5" s="12" t="s">
        <v>117</v>
      </c>
      <c r="S5" s="12"/>
      <c r="T5" s="55" t="s">
        <v>118</v>
      </c>
      <c r="U5" s="55" t="s">
        <v>1</v>
      </c>
      <c r="V5" s="12" t="s">
        <v>42</v>
      </c>
    </row>
    <row r="6" spans="1:58" ht="15.75" thickBot="1" x14ac:dyDescent="0.3">
      <c r="A6" s="42"/>
      <c r="B6" s="26"/>
      <c r="C6" s="26"/>
      <c r="D6" s="26"/>
      <c r="E6" s="26"/>
      <c r="F6" s="26"/>
      <c r="G6" s="26"/>
      <c r="H6" s="26"/>
      <c r="I6" s="40">
        <v>0.18</v>
      </c>
      <c r="J6" s="26"/>
      <c r="K6" s="40">
        <v>0.01</v>
      </c>
      <c r="L6" s="40">
        <v>0.05</v>
      </c>
      <c r="M6" s="40">
        <v>0.1</v>
      </c>
      <c r="N6" s="40">
        <v>0.1</v>
      </c>
      <c r="O6" s="40">
        <v>0.05</v>
      </c>
      <c r="P6" s="40">
        <v>0.18</v>
      </c>
      <c r="Q6" s="40"/>
      <c r="R6" s="26"/>
      <c r="S6" s="13"/>
      <c r="T6" s="26"/>
      <c r="U6" s="26"/>
      <c r="V6" s="26"/>
    </row>
    <row r="7" spans="1:58" s="11" customFormat="1" x14ac:dyDescent="0.25">
      <c r="A7" s="43"/>
      <c r="B7" s="37"/>
      <c r="C7" s="37"/>
      <c r="D7" s="37"/>
      <c r="E7" s="37"/>
      <c r="F7" s="37"/>
      <c r="G7" s="37"/>
      <c r="H7" s="37"/>
      <c r="I7" s="38"/>
      <c r="J7" s="37"/>
      <c r="K7" s="38"/>
      <c r="L7" s="38"/>
      <c r="M7" s="38"/>
      <c r="N7" s="38"/>
      <c r="O7" s="38"/>
      <c r="P7" s="38"/>
      <c r="Q7" s="38"/>
      <c r="R7" s="37"/>
      <c r="S7" s="39">
        <f>A8</f>
        <v>59167</v>
      </c>
      <c r="T7" s="37"/>
      <c r="U7" s="37"/>
      <c r="V7" s="37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</row>
    <row r="8" spans="1:58" x14ac:dyDescent="0.25">
      <c r="A8" s="44">
        <v>59167</v>
      </c>
      <c r="B8" s="16" t="s">
        <v>4</v>
      </c>
      <c r="C8" s="17">
        <v>45189</v>
      </c>
      <c r="D8" s="18">
        <v>1</v>
      </c>
      <c r="E8" s="18">
        <v>1</v>
      </c>
      <c r="F8" s="15">
        <v>350068</v>
      </c>
      <c r="G8" s="15">
        <v>0</v>
      </c>
      <c r="H8" s="15">
        <f>F8-G8</f>
        <v>350068</v>
      </c>
      <c r="I8" s="15">
        <f>ROUND(H8*18%,0)</f>
        <v>63012</v>
      </c>
      <c r="J8" s="15">
        <f>H8+I8</f>
        <v>413080</v>
      </c>
      <c r="K8" s="15">
        <f>ROUND(H8*$K$6,0)</f>
        <v>3501</v>
      </c>
      <c r="L8" s="15">
        <f>ROUND(H8*5%,0)</f>
        <v>17503</v>
      </c>
      <c r="M8" s="15">
        <f>H8*10%</f>
        <v>35006.800000000003</v>
      </c>
      <c r="N8" s="15">
        <f>H8*10%</f>
        <v>35006.800000000003</v>
      </c>
      <c r="O8" s="15">
        <v>0</v>
      </c>
      <c r="P8" s="41">
        <f>I8</f>
        <v>63012</v>
      </c>
      <c r="Q8" s="15">
        <f>874+2360+148500</f>
        <v>151734</v>
      </c>
      <c r="R8" s="15">
        <f>H8-K8-L8-M8-N8-Q8</f>
        <v>107316.40000000002</v>
      </c>
      <c r="S8" s="14"/>
      <c r="T8" s="15">
        <v>148500</v>
      </c>
      <c r="U8" s="19" t="s">
        <v>5</v>
      </c>
      <c r="V8" s="15">
        <f>SUM(R8:R15)-SUM(T8:T15)</f>
        <v>-172125.31999999983</v>
      </c>
    </row>
    <row r="9" spans="1:58" x14ac:dyDescent="0.15">
      <c r="A9" s="44">
        <v>59167</v>
      </c>
      <c r="B9" s="18" t="s">
        <v>4</v>
      </c>
      <c r="C9" s="20">
        <v>45240</v>
      </c>
      <c r="D9" s="18">
        <v>4</v>
      </c>
      <c r="E9" s="18">
        <v>4</v>
      </c>
      <c r="F9" s="21">
        <v>605746</v>
      </c>
      <c r="G9" s="21">
        <v>0</v>
      </c>
      <c r="H9" s="21">
        <f>F9-G9</f>
        <v>605746</v>
      </c>
      <c r="I9" s="15">
        <f>H9*18%</f>
        <v>109034.28</v>
      </c>
      <c r="J9" s="15">
        <f>H9+I9</f>
        <v>714780.28</v>
      </c>
      <c r="K9" s="15">
        <f>H9*1%</f>
        <v>6057.46</v>
      </c>
      <c r="L9" s="15">
        <f>H9*5%</f>
        <v>30287.300000000003</v>
      </c>
      <c r="M9" s="15">
        <f>H9*10%</f>
        <v>60574.600000000006</v>
      </c>
      <c r="N9" s="15">
        <f>H9*10%</f>
        <v>60574.600000000006</v>
      </c>
      <c r="O9" s="15"/>
      <c r="P9" s="41">
        <f>H9*18%</f>
        <v>109034.28</v>
      </c>
      <c r="Q9" s="15">
        <v>4943</v>
      </c>
      <c r="R9" s="15">
        <f>H9-K9-L9-M9-N9-Q9</f>
        <v>443309.04000000004</v>
      </c>
      <c r="S9" s="14"/>
      <c r="T9" s="15">
        <v>107316</v>
      </c>
      <c r="U9" s="15" t="s">
        <v>6</v>
      </c>
      <c r="V9" s="15"/>
    </row>
    <row r="10" spans="1:58" x14ac:dyDescent="0.15">
      <c r="A10" s="44">
        <v>59167</v>
      </c>
      <c r="B10" s="18" t="s">
        <v>4</v>
      </c>
      <c r="C10" s="20">
        <v>45261</v>
      </c>
      <c r="D10" s="18">
        <v>5</v>
      </c>
      <c r="E10" s="18">
        <v>5</v>
      </c>
      <c r="F10" s="21">
        <v>1330488</v>
      </c>
      <c r="G10" s="21">
        <v>75000</v>
      </c>
      <c r="H10" s="21">
        <f>F10-G10</f>
        <v>1255488</v>
      </c>
      <c r="I10" s="15">
        <f>H10*18%</f>
        <v>225987.84</v>
      </c>
      <c r="J10" s="15">
        <f>H10+I10</f>
        <v>1481475.84</v>
      </c>
      <c r="K10" s="15">
        <f>H10*1%</f>
        <v>12554.880000000001</v>
      </c>
      <c r="L10" s="15">
        <f>H10*5%</f>
        <v>62774.400000000001</v>
      </c>
      <c r="M10" s="15">
        <f>H10*10%</f>
        <v>125548.8</v>
      </c>
      <c r="N10" s="15">
        <f>H10*10%</f>
        <v>125548.8</v>
      </c>
      <c r="O10" s="15"/>
      <c r="P10" s="41">
        <f>H10*18%</f>
        <v>225987.84</v>
      </c>
      <c r="Q10" s="15">
        <v>3580</v>
      </c>
      <c r="R10" s="15">
        <f>H10-K10-L10-M10-N10-Q10</f>
        <v>925481.12000000011</v>
      </c>
      <c r="S10" s="15"/>
      <c r="T10" s="15">
        <v>198000</v>
      </c>
      <c r="U10" s="15" t="s">
        <v>8</v>
      </c>
      <c r="V10" s="15"/>
    </row>
    <row r="11" spans="1:58" x14ac:dyDescent="0.25">
      <c r="A11" s="44">
        <v>59167</v>
      </c>
      <c r="B11" s="15" t="s">
        <v>28</v>
      </c>
      <c r="C11" s="15"/>
      <c r="D11" s="15"/>
      <c r="E11" s="18">
        <v>1</v>
      </c>
      <c r="F11" s="15">
        <f>P8</f>
        <v>63012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41">
        <f>F11</f>
        <v>63012</v>
      </c>
      <c r="S11" s="15"/>
      <c r="T11" s="15">
        <v>245309</v>
      </c>
      <c r="U11" s="15" t="s">
        <v>17</v>
      </c>
      <c r="V11" s="15"/>
    </row>
    <row r="12" spans="1:58" x14ac:dyDescent="0.25">
      <c r="A12" s="44">
        <v>59167</v>
      </c>
      <c r="B12" s="15" t="s">
        <v>28</v>
      </c>
      <c r="C12" s="15"/>
      <c r="D12" s="15"/>
      <c r="E12" s="18">
        <v>4</v>
      </c>
      <c r="F12" s="15">
        <f>P9</f>
        <v>109034.28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41">
        <f>F12</f>
        <v>109034.28</v>
      </c>
      <c r="S12" s="15"/>
      <c r="T12" s="15">
        <v>925481</v>
      </c>
      <c r="U12" s="15" t="s">
        <v>19</v>
      </c>
      <c r="V12" s="15"/>
    </row>
    <row r="13" spans="1:58" x14ac:dyDescent="0.25">
      <c r="A13" s="44">
        <v>59167</v>
      </c>
      <c r="B13" s="15" t="s">
        <v>28</v>
      </c>
      <c r="C13" s="15"/>
      <c r="D13" s="15"/>
      <c r="E13" s="18">
        <v>5</v>
      </c>
      <c r="F13" s="15">
        <f>P10</f>
        <v>225987.84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41">
        <f>F13</f>
        <v>225987.84</v>
      </c>
      <c r="S13" s="15"/>
      <c r="T13" s="15">
        <v>63012</v>
      </c>
      <c r="U13" s="15" t="s">
        <v>56</v>
      </c>
      <c r="V13" s="15"/>
    </row>
    <row r="14" spans="1:58" x14ac:dyDescent="0.25">
      <c r="A14" s="44">
        <v>59167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>
        <v>225988</v>
      </c>
      <c r="U14" s="15" t="s">
        <v>55</v>
      </c>
      <c r="V14" s="15"/>
    </row>
    <row r="15" spans="1:58" x14ac:dyDescent="0.25">
      <c r="A15" s="44">
        <v>59167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>
        <v>132660</v>
      </c>
      <c r="U15" s="15" t="s">
        <v>88</v>
      </c>
      <c r="V15" s="15"/>
    </row>
    <row r="16" spans="1:58" s="11" customFormat="1" x14ac:dyDescent="0.25">
      <c r="A16" s="45"/>
      <c r="B16" s="22"/>
      <c r="C16" s="22"/>
      <c r="D16" s="22"/>
      <c r="E16" s="22"/>
      <c r="F16" s="22"/>
      <c r="G16" s="22"/>
      <c r="H16" s="22"/>
      <c r="I16" s="23"/>
      <c r="J16" s="22"/>
      <c r="K16" s="23"/>
      <c r="L16" s="23"/>
      <c r="M16" s="23"/>
      <c r="N16" s="23"/>
      <c r="O16" s="23"/>
      <c r="P16" s="23"/>
      <c r="Q16" s="23"/>
      <c r="R16" s="22"/>
      <c r="S16" s="24">
        <f>A17</f>
        <v>59325</v>
      </c>
      <c r="T16" s="22"/>
      <c r="U16" s="22"/>
      <c r="V16" s="22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</row>
    <row r="17" spans="1:58" x14ac:dyDescent="0.25">
      <c r="A17" s="44">
        <v>59325</v>
      </c>
      <c r="B17" s="16" t="s">
        <v>119</v>
      </c>
      <c r="C17" s="17">
        <v>45225</v>
      </c>
      <c r="D17" s="18">
        <v>2</v>
      </c>
      <c r="E17" s="18">
        <v>2</v>
      </c>
      <c r="F17" s="15">
        <v>189932</v>
      </c>
      <c r="G17" s="15">
        <v>0</v>
      </c>
      <c r="H17" s="15">
        <f>F17-G17</f>
        <v>189932</v>
      </c>
      <c r="I17" s="15">
        <f>ROUND(H17*18%,0)</f>
        <v>34188</v>
      </c>
      <c r="J17" s="15">
        <f>H17+I17</f>
        <v>224120</v>
      </c>
      <c r="K17" s="15">
        <f>ROUND(H17*$K$6,0)</f>
        <v>1899</v>
      </c>
      <c r="L17" s="15">
        <f>ROUND(H17*5%,0)</f>
        <v>9497</v>
      </c>
      <c r="M17" s="15">
        <v>0</v>
      </c>
      <c r="N17" s="15">
        <v>0</v>
      </c>
      <c r="O17" s="15">
        <v>0</v>
      </c>
      <c r="P17" s="41">
        <f>I17</f>
        <v>34188</v>
      </c>
      <c r="Q17" s="15">
        <v>0</v>
      </c>
      <c r="R17" s="15">
        <f>ROUND(J17-SUM(K17:Q17),)</f>
        <v>178536</v>
      </c>
      <c r="S17" s="14"/>
      <c r="T17" s="15">
        <v>99000</v>
      </c>
      <c r="U17" s="15" t="s">
        <v>9</v>
      </c>
      <c r="V17" s="15">
        <f>SUM(R17:R19)-SUM(T17:T19)</f>
        <v>0</v>
      </c>
    </row>
    <row r="18" spans="1:58" x14ac:dyDescent="0.25">
      <c r="A18" s="44">
        <v>59325</v>
      </c>
      <c r="B18" s="15" t="s">
        <v>28</v>
      </c>
      <c r="C18" s="15"/>
      <c r="D18" s="15"/>
      <c r="E18" s="18">
        <v>2</v>
      </c>
      <c r="F18" s="15">
        <f>P17</f>
        <v>34188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41">
        <f>F18</f>
        <v>34188</v>
      </c>
      <c r="S18" s="14"/>
      <c r="T18" s="15">
        <v>79536</v>
      </c>
      <c r="U18" s="15" t="s">
        <v>10</v>
      </c>
      <c r="V18" s="15"/>
    </row>
    <row r="19" spans="1:58" x14ac:dyDescent="0.25">
      <c r="A19" s="44">
        <v>59325</v>
      </c>
      <c r="B19" s="15"/>
      <c r="C19" s="15"/>
      <c r="D19" s="15"/>
      <c r="E19" s="18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4"/>
      <c r="T19" s="15">
        <v>34188</v>
      </c>
      <c r="U19" s="15" t="s">
        <v>54</v>
      </c>
      <c r="V19" s="15"/>
    </row>
    <row r="20" spans="1:58" s="11" customFormat="1" x14ac:dyDescent="0.25">
      <c r="A20" s="45"/>
      <c r="B20" s="22"/>
      <c r="C20" s="22"/>
      <c r="D20" s="22"/>
      <c r="E20" s="22"/>
      <c r="F20" s="22"/>
      <c r="G20" s="22"/>
      <c r="H20" s="22"/>
      <c r="I20" s="23"/>
      <c r="J20" s="22"/>
      <c r="K20" s="23"/>
      <c r="L20" s="23"/>
      <c r="M20" s="23"/>
      <c r="N20" s="23"/>
      <c r="O20" s="23"/>
      <c r="P20" s="23"/>
      <c r="Q20" s="23"/>
      <c r="R20" s="22"/>
      <c r="S20" s="24">
        <f>A21</f>
        <v>59413</v>
      </c>
      <c r="T20" s="22"/>
      <c r="U20" s="22"/>
      <c r="V20" s="22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</row>
    <row r="21" spans="1:58" x14ac:dyDescent="0.25">
      <c r="A21" s="44">
        <v>59413</v>
      </c>
      <c r="B21" s="15" t="s">
        <v>120</v>
      </c>
      <c r="C21" s="17">
        <v>45280</v>
      </c>
      <c r="D21" s="18">
        <v>2</v>
      </c>
      <c r="E21" s="18">
        <v>10</v>
      </c>
      <c r="F21" s="15">
        <v>682204</v>
      </c>
      <c r="G21" s="15">
        <v>45200</v>
      </c>
      <c r="H21" s="15">
        <f>F21-G21</f>
        <v>637004</v>
      </c>
      <c r="I21" s="15">
        <f>ROUND(H21*18%,0)</f>
        <v>114661</v>
      </c>
      <c r="J21" s="15">
        <f>H21+I21</f>
        <v>751665</v>
      </c>
      <c r="K21" s="15">
        <f>ROUND(H21*$K$6,0)</f>
        <v>6370</v>
      </c>
      <c r="L21" s="15">
        <f>ROUND(H21*5%,0)</f>
        <v>31850</v>
      </c>
      <c r="M21" s="15">
        <f>H21*10%</f>
        <v>63700.4</v>
      </c>
      <c r="N21" s="15">
        <f>H21*10%</f>
        <v>63700.4</v>
      </c>
      <c r="O21" s="15">
        <v>0</v>
      </c>
      <c r="P21" s="41">
        <f>I21</f>
        <v>114661</v>
      </c>
      <c r="Q21" s="15">
        <v>0</v>
      </c>
      <c r="R21" s="15">
        <f>ROUND(J21-SUM(K21:Q21),)</f>
        <v>471383</v>
      </c>
      <c r="S21" s="15"/>
      <c r="T21" s="15">
        <v>148500</v>
      </c>
      <c r="U21" s="15" t="s">
        <v>11</v>
      </c>
      <c r="V21" s="15">
        <f>SUM(R21:R23)-SUM(T21:T23)</f>
        <v>-1</v>
      </c>
    </row>
    <row r="22" spans="1:58" x14ac:dyDescent="0.25">
      <c r="A22" s="44">
        <v>59413</v>
      </c>
      <c r="B22" s="15" t="s">
        <v>28</v>
      </c>
      <c r="C22" s="15"/>
      <c r="D22" s="15"/>
      <c r="E22" s="15"/>
      <c r="F22" s="15">
        <f>I21</f>
        <v>114661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41">
        <f>P21</f>
        <v>114661</v>
      </c>
      <c r="S22" s="15"/>
      <c r="T22" s="15">
        <v>322884</v>
      </c>
      <c r="U22" s="15" t="s">
        <v>20</v>
      </c>
      <c r="V22" s="15"/>
    </row>
    <row r="23" spans="1:58" x14ac:dyDescent="0.25">
      <c r="A23" s="44">
        <v>59413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>
        <v>114661</v>
      </c>
      <c r="U23" s="15" t="s">
        <v>87</v>
      </c>
      <c r="V23" s="15"/>
    </row>
    <row r="24" spans="1:58" s="11" customFormat="1" x14ac:dyDescent="0.25">
      <c r="A24" s="45"/>
      <c r="B24" s="22"/>
      <c r="C24" s="22"/>
      <c r="D24" s="22"/>
      <c r="E24" s="22"/>
      <c r="F24" s="22"/>
      <c r="G24" s="22"/>
      <c r="H24" s="22"/>
      <c r="I24" s="23"/>
      <c r="J24" s="22"/>
      <c r="K24" s="23"/>
      <c r="L24" s="23"/>
      <c r="M24" s="23"/>
      <c r="N24" s="23"/>
      <c r="O24" s="23"/>
      <c r="P24" s="23"/>
      <c r="Q24" s="23"/>
      <c r="R24" s="22"/>
      <c r="S24" s="24">
        <f>A25</f>
        <v>59734</v>
      </c>
      <c r="T24" s="22"/>
      <c r="U24" s="22"/>
      <c r="V24" s="22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</row>
    <row r="25" spans="1:58" ht="28.5" x14ac:dyDescent="0.25">
      <c r="A25" s="44">
        <v>59734</v>
      </c>
      <c r="B25" s="25" t="s">
        <v>121</v>
      </c>
      <c r="C25" s="17">
        <v>45234</v>
      </c>
      <c r="D25" s="18">
        <v>2</v>
      </c>
      <c r="E25" s="18">
        <v>3</v>
      </c>
      <c r="F25" s="15">
        <v>966465</v>
      </c>
      <c r="G25" s="15">
        <v>116425</v>
      </c>
      <c r="H25" s="15">
        <f>F25-G25</f>
        <v>850040</v>
      </c>
      <c r="I25" s="15">
        <f>ROUND(H25*18%,0)</f>
        <v>153007</v>
      </c>
      <c r="J25" s="15">
        <f>H25+I25</f>
        <v>1003047</v>
      </c>
      <c r="K25" s="15">
        <f>ROUND(H25*$K$6,0)</f>
        <v>8500</v>
      </c>
      <c r="L25" s="15">
        <f>ROUND(H25*5%,0)</f>
        <v>42502</v>
      </c>
      <c r="M25" s="15">
        <f>H25*10%</f>
        <v>85004</v>
      </c>
      <c r="N25" s="15">
        <f>H25*10%</f>
        <v>85004</v>
      </c>
      <c r="O25" s="15">
        <v>0</v>
      </c>
      <c r="P25" s="41">
        <f>I25</f>
        <v>153007</v>
      </c>
      <c r="Q25" s="15">
        <v>28024</v>
      </c>
      <c r="R25" s="15">
        <f>ROUND(J25-SUM(K25:Q25),)</f>
        <v>601006</v>
      </c>
      <c r="S25" s="15"/>
      <c r="T25" s="15">
        <v>148500</v>
      </c>
      <c r="U25" s="15" t="s">
        <v>53</v>
      </c>
      <c r="V25" s="15">
        <f>SUM(R25:R27)-SUM(T25:T28)</f>
        <v>-1</v>
      </c>
    </row>
    <row r="26" spans="1:58" x14ac:dyDescent="0.25">
      <c r="A26" s="44">
        <v>59734</v>
      </c>
      <c r="B26" s="25" t="s">
        <v>28</v>
      </c>
      <c r="C26" s="17"/>
      <c r="D26" s="18"/>
      <c r="E26" s="18">
        <v>3</v>
      </c>
      <c r="F26" s="15">
        <f>I25</f>
        <v>153007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41">
        <f>P25</f>
        <v>153007</v>
      </c>
      <c r="S26" s="15"/>
      <c r="T26" s="15">
        <v>346500</v>
      </c>
      <c r="U26" s="15" t="s">
        <v>12</v>
      </c>
      <c r="V26" s="15"/>
    </row>
    <row r="27" spans="1:58" x14ac:dyDescent="0.25">
      <c r="A27" s="44">
        <v>59734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>
        <v>106007</v>
      </c>
      <c r="U27" s="15" t="s">
        <v>52</v>
      </c>
      <c r="V27" s="15"/>
    </row>
    <row r="28" spans="1:58" x14ac:dyDescent="0.25">
      <c r="A28" s="44">
        <v>59734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>
        <v>153007</v>
      </c>
      <c r="U28" s="15" t="s">
        <v>81</v>
      </c>
      <c r="V28" s="15"/>
    </row>
    <row r="29" spans="1:58" s="11" customFormat="1" x14ac:dyDescent="0.25">
      <c r="A29" s="45"/>
      <c r="B29" s="22"/>
      <c r="C29" s="22"/>
      <c r="D29" s="22"/>
      <c r="E29" s="22"/>
      <c r="F29" s="22"/>
      <c r="G29" s="22"/>
      <c r="H29" s="22"/>
      <c r="I29" s="23"/>
      <c r="J29" s="22"/>
      <c r="K29" s="23"/>
      <c r="L29" s="23"/>
      <c r="M29" s="23"/>
      <c r="N29" s="23"/>
      <c r="O29" s="23"/>
      <c r="P29" s="23"/>
      <c r="Q29" s="23"/>
      <c r="R29" s="22"/>
      <c r="S29" s="24">
        <f>A30</f>
        <v>59912</v>
      </c>
      <c r="T29" s="22"/>
      <c r="U29" s="22"/>
      <c r="V29" s="22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</row>
    <row r="30" spans="1:58" x14ac:dyDescent="0.25">
      <c r="A30" s="44">
        <v>59912</v>
      </c>
      <c r="B30" s="15" t="s">
        <v>122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>
        <v>198000</v>
      </c>
      <c r="U30" s="15" t="s">
        <v>13</v>
      </c>
      <c r="V30" s="15">
        <f>SUM(R30:R31)-SUM(T30:T31)</f>
        <v>-198000</v>
      </c>
    </row>
    <row r="31" spans="1:58" x14ac:dyDescent="0.25">
      <c r="A31" s="44">
        <v>59912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58" s="11" customFormat="1" x14ac:dyDescent="0.25">
      <c r="A32" s="45"/>
      <c r="B32" s="22"/>
      <c r="C32" s="22"/>
      <c r="D32" s="22"/>
      <c r="E32" s="22"/>
      <c r="F32" s="22"/>
      <c r="G32" s="22"/>
      <c r="H32" s="22"/>
      <c r="I32" s="23"/>
      <c r="J32" s="22"/>
      <c r="K32" s="23"/>
      <c r="L32" s="23"/>
      <c r="M32" s="23"/>
      <c r="N32" s="23"/>
      <c r="O32" s="23"/>
      <c r="P32" s="23"/>
      <c r="Q32" s="23"/>
      <c r="R32" s="22"/>
      <c r="S32" s="24">
        <f>A33</f>
        <v>60158</v>
      </c>
      <c r="T32" s="22"/>
      <c r="U32" s="22"/>
      <c r="V32" s="22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</row>
    <row r="33" spans="1:58" x14ac:dyDescent="0.25">
      <c r="A33" s="44">
        <v>60158</v>
      </c>
      <c r="B33" s="15" t="s">
        <v>123</v>
      </c>
      <c r="C33" s="17">
        <v>45320</v>
      </c>
      <c r="D33" s="18">
        <v>6</v>
      </c>
      <c r="E33" s="18">
        <v>16</v>
      </c>
      <c r="F33" s="15">
        <v>343500</v>
      </c>
      <c r="G33" s="15">
        <v>0</v>
      </c>
      <c r="H33" s="15">
        <f>F33-G33</f>
        <v>343500</v>
      </c>
      <c r="I33" s="15">
        <f>ROUND(H33*18%,0)</f>
        <v>61830</v>
      </c>
      <c r="J33" s="15">
        <f>H33+I33</f>
        <v>405330</v>
      </c>
      <c r="K33" s="15">
        <f>ROUND(H33*$K$6,0)</f>
        <v>3435</v>
      </c>
      <c r="L33" s="15">
        <f>ROUND(H33*5%,0)</f>
        <v>17175</v>
      </c>
      <c r="M33" s="15">
        <v>0</v>
      </c>
      <c r="N33" s="15">
        <v>0</v>
      </c>
      <c r="O33" s="15">
        <v>0</v>
      </c>
      <c r="P33" s="41">
        <f>I33</f>
        <v>61830</v>
      </c>
      <c r="Q33" s="15">
        <v>0</v>
      </c>
      <c r="R33" s="15">
        <f>H33-K33-L33-M33-N33-Q33</f>
        <v>322890</v>
      </c>
      <c r="S33" s="15"/>
      <c r="T33" s="15">
        <v>148500</v>
      </c>
      <c r="U33" s="15" t="s">
        <v>14</v>
      </c>
      <c r="V33" s="15">
        <f>SUM(R33:R35)-SUM(T33:T35)</f>
        <v>0</v>
      </c>
    </row>
    <row r="34" spans="1:58" x14ac:dyDescent="0.25">
      <c r="A34" s="44">
        <v>60158</v>
      </c>
      <c r="B34" s="15" t="s">
        <v>23</v>
      </c>
      <c r="C34" s="15"/>
      <c r="D34" s="15"/>
      <c r="E34" s="15">
        <v>16</v>
      </c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41">
        <f>P33</f>
        <v>61830</v>
      </c>
      <c r="S34" s="15"/>
      <c r="T34" s="15">
        <v>174390</v>
      </c>
      <c r="U34" s="15" t="s">
        <v>58</v>
      </c>
      <c r="V34" s="15"/>
    </row>
    <row r="35" spans="1:58" x14ac:dyDescent="0.25">
      <c r="A35" s="44">
        <v>60158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>
        <v>61830</v>
      </c>
      <c r="U35" s="15" t="s">
        <v>76</v>
      </c>
      <c r="V35" s="15"/>
    </row>
    <row r="36" spans="1:58" s="11" customFormat="1" x14ac:dyDescent="0.25">
      <c r="A36" s="45"/>
      <c r="B36" s="22"/>
      <c r="C36" s="22"/>
      <c r="D36" s="22"/>
      <c r="E36" s="22"/>
      <c r="F36" s="22"/>
      <c r="G36" s="22"/>
      <c r="H36" s="22"/>
      <c r="I36" s="23"/>
      <c r="J36" s="22"/>
      <c r="K36" s="23"/>
      <c r="L36" s="23"/>
      <c r="M36" s="23"/>
      <c r="N36" s="23"/>
      <c r="O36" s="23"/>
      <c r="P36" s="23"/>
      <c r="Q36" s="23"/>
      <c r="R36" s="22"/>
      <c r="S36" s="24">
        <f>A37</f>
        <v>60229</v>
      </c>
      <c r="T36" s="22"/>
      <c r="U36" s="22"/>
      <c r="V36" s="22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</row>
    <row r="37" spans="1:58" x14ac:dyDescent="0.25">
      <c r="A37" s="44">
        <v>60229</v>
      </c>
      <c r="B37" s="15" t="s">
        <v>124</v>
      </c>
      <c r="C37" s="17">
        <v>45274</v>
      </c>
      <c r="D37" s="18">
        <v>6</v>
      </c>
      <c r="E37" s="18">
        <v>9</v>
      </c>
      <c r="F37" s="15">
        <v>590794</v>
      </c>
      <c r="G37" s="15">
        <v>0</v>
      </c>
      <c r="H37" s="15">
        <f>F37-G37</f>
        <v>590794</v>
      </c>
      <c r="I37" s="15">
        <f>ROUND(H37*18%,0)</f>
        <v>106343</v>
      </c>
      <c r="J37" s="15">
        <f>H37+I37</f>
        <v>697137</v>
      </c>
      <c r="K37" s="15">
        <f>ROUND(H37*$K$6,0)</f>
        <v>5908</v>
      </c>
      <c r="L37" s="15">
        <f>ROUND(H37*5%,0)</f>
        <v>29540</v>
      </c>
      <c r="M37" s="15">
        <f>H37*10%</f>
        <v>59079.4</v>
      </c>
      <c r="N37" s="15">
        <f>H37*10%</f>
        <v>59079.4</v>
      </c>
      <c r="O37" s="15">
        <v>0</v>
      </c>
      <c r="P37" s="41">
        <f>I37</f>
        <v>106343</v>
      </c>
      <c r="Q37" s="15">
        <v>0</v>
      </c>
      <c r="R37" s="15">
        <f>H37-K37-L37-M37-N37-Q37</f>
        <v>437187.19999999995</v>
      </c>
      <c r="S37" s="15"/>
      <c r="T37" s="15">
        <v>198000</v>
      </c>
      <c r="U37" s="15" t="s">
        <v>21</v>
      </c>
      <c r="V37" s="15">
        <f>SUM(R37:R39)-SUM(T37:T39)</f>
        <v>-0.80000000004656613</v>
      </c>
    </row>
    <row r="38" spans="1:58" x14ac:dyDescent="0.25">
      <c r="A38" s="44">
        <v>60229</v>
      </c>
      <c r="B38" s="15" t="s">
        <v>23</v>
      </c>
      <c r="C38" s="15"/>
      <c r="D38" s="15"/>
      <c r="E38" s="18">
        <v>9</v>
      </c>
      <c r="F38" s="15">
        <f>P37</f>
        <v>106343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41">
        <f>F38</f>
        <v>106343</v>
      </c>
      <c r="S38" s="15"/>
      <c r="T38" s="15">
        <v>239188</v>
      </c>
      <c r="U38" s="15" t="s">
        <v>22</v>
      </c>
      <c r="V38" s="15"/>
    </row>
    <row r="39" spans="1:58" x14ac:dyDescent="0.25">
      <c r="A39" s="44">
        <v>60229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>
        <v>106343</v>
      </c>
      <c r="U39" s="15" t="s">
        <v>51</v>
      </c>
      <c r="V39" s="15"/>
    </row>
    <row r="40" spans="1:58" s="11" customFormat="1" x14ac:dyDescent="0.25">
      <c r="A40" s="45"/>
      <c r="B40" s="22"/>
      <c r="C40" s="22"/>
      <c r="D40" s="22"/>
      <c r="E40" s="22"/>
      <c r="F40" s="22"/>
      <c r="G40" s="22"/>
      <c r="H40" s="22"/>
      <c r="I40" s="23"/>
      <c r="J40" s="22"/>
      <c r="K40" s="23"/>
      <c r="L40" s="23"/>
      <c r="M40" s="23"/>
      <c r="N40" s="23"/>
      <c r="O40" s="23"/>
      <c r="P40" s="23"/>
      <c r="Q40" s="23"/>
      <c r="R40" s="22"/>
      <c r="S40" s="24">
        <f>A41</f>
        <v>60230</v>
      </c>
      <c r="T40" s="22"/>
      <c r="U40" s="22"/>
      <c r="V40" s="22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</row>
    <row r="41" spans="1:58" x14ac:dyDescent="0.25">
      <c r="A41" s="44">
        <v>60230</v>
      </c>
      <c r="B41" s="15" t="s">
        <v>125</v>
      </c>
      <c r="C41" s="17">
        <v>45270</v>
      </c>
      <c r="D41" s="18">
        <v>6</v>
      </c>
      <c r="E41" s="18">
        <v>8</v>
      </c>
      <c r="F41" s="15">
        <v>780673</v>
      </c>
      <c r="G41" s="15">
        <v>56250</v>
      </c>
      <c r="H41" s="15">
        <f>F41-G41</f>
        <v>724423</v>
      </c>
      <c r="I41" s="15">
        <f>ROUND(H41*18%,0)</f>
        <v>130396</v>
      </c>
      <c r="J41" s="15">
        <f>H41+I41</f>
        <v>854819</v>
      </c>
      <c r="K41" s="15">
        <f>ROUND(H41*$K$6,0)</f>
        <v>7244</v>
      </c>
      <c r="L41" s="15">
        <f>ROUND(H41*5%,0)</f>
        <v>36221</v>
      </c>
      <c r="M41" s="15">
        <f>H41*10%</f>
        <v>72442.3</v>
      </c>
      <c r="N41" s="15"/>
      <c r="O41" s="15">
        <v>0</v>
      </c>
      <c r="P41" s="41">
        <f>I41</f>
        <v>130396</v>
      </c>
      <c r="Q41" s="15">
        <v>0</v>
      </c>
      <c r="R41" s="15">
        <f>H41-K41-L41-M41-N41-Q41</f>
        <v>608515.69999999995</v>
      </c>
      <c r="S41" s="15"/>
      <c r="T41" s="15">
        <v>198000</v>
      </c>
      <c r="U41" s="15" t="s">
        <v>24</v>
      </c>
      <c r="V41" s="15">
        <f>SUM(R41:R43)-SUM(T41:T43)</f>
        <v>-0.30000000004656613</v>
      </c>
    </row>
    <row r="42" spans="1:58" x14ac:dyDescent="0.25">
      <c r="A42" s="44">
        <v>60230</v>
      </c>
      <c r="B42" s="15" t="s">
        <v>23</v>
      </c>
      <c r="C42" s="15"/>
      <c r="D42" s="15"/>
      <c r="E42" s="15">
        <v>8</v>
      </c>
      <c r="F42" s="15">
        <f>P41</f>
        <v>130396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41">
        <f>F42</f>
        <v>130396</v>
      </c>
      <c r="S42" s="15"/>
      <c r="T42" s="15">
        <v>410516</v>
      </c>
      <c r="U42" s="15" t="s">
        <v>25</v>
      </c>
      <c r="V42" s="15"/>
    </row>
    <row r="43" spans="1:58" x14ac:dyDescent="0.25">
      <c r="A43" s="44">
        <v>60230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>
        <v>130396</v>
      </c>
      <c r="U43" s="15" t="s">
        <v>50</v>
      </c>
      <c r="V43" s="15"/>
    </row>
    <row r="44" spans="1:58" s="11" customFormat="1" x14ac:dyDescent="0.25">
      <c r="A44" s="45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4">
        <f>A45</f>
        <v>60327</v>
      </c>
      <c r="T44" s="22"/>
      <c r="U44" s="22"/>
      <c r="V44" s="22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</row>
    <row r="45" spans="1:58" ht="28.5" x14ac:dyDescent="0.25">
      <c r="A45" s="44">
        <v>60327</v>
      </c>
      <c r="B45" s="25" t="s">
        <v>126</v>
      </c>
      <c r="C45" s="17">
        <v>45339</v>
      </c>
      <c r="D45" s="18">
        <v>6</v>
      </c>
      <c r="E45" s="18">
        <v>18</v>
      </c>
      <c r="F45" s="15">
        <v>638227</v>
      </c>
      <c r="G45" s="15">
        <v>75000</v>
      </c>
      <c r="H45" s="15">
        <f>F45-G45</f>
        <v>563227</v>
      </c>
      <c r="I45" s="15">
        <f>ROUND(H45*18%,0)</f>
        <v>101381</v>
      </c>
      <c r="J45" s="15">
        <f>H45+I45</f>
        <v>664608</v>
      </c>
      <c r="K45" s="15">
        <f>ROUND(H45*$K$6,0)</f>
        <v>5632</v>
      </c>
      <c r="L45" s="15">
        <f>ROUND(H45*5%,0)</f>
        <v>28161</v>
      </c>
      <c r="M45" s="15">
        <f>H45*10%</f>
        <v>56322.700000000004</v>
      </c>
      <c r="N45" s="15">
        <f>H45*10%</f>
        <v>56322.700000000004</v>
      </c>
      <c r="O45" s="15">
        <v>0</v>
      </c>
      <c r="P45" s="41">
        <f>I45</f>
        <v>101381</v>
      </c>
      <c r="Q45" s="15">
        <v>0</v>
      </c>
      <c r="R45" s="15">
        <f>H45-K45-L45-M45-N45-Q45</f>
        <v>416788.6</v>
      </c>
      <c r="S45" s="15"/>
      <c r="T45" s="15">
        <v>198000</v>
      </c>
      <c r="U45" s="15" t="s">
        <v>32</v>
      </c>
      <c r="V45" s="15">
        <f>SUM(R45:R47)-SUM(T45:T47)</f>
        <v>0.59999999997671694</v>
      </c>
    </row>
    <row r="46" spans="1:58" x14ac:dyDescent="0.25">
      <c r="A46" s="44">
        <v>60327</v>
      </c>
      <c r="B46" s="15" t="s">
        <v>63</v>
      </c>
      <c r="C46" s="15"/>
      <c r="D46" s="15"/>
      <c r="E46" s="18">
        <v>18</v>
      </c>
      <c r="F46" s="15">
        <f>P45</f>
        <v>101381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41">
        <f>F46</f>
        <v>101381</v>
      </c>
      <c r="S46" s="15"/>
      <c r="T46" s="15">
        <v>218788</v>
      </c>
      <c r="U46" s="15" t="s">
        <v>59</v>
      </c>
      <c r="V46" s="15"/>
    </row>
    <row r="47" spans="1:58" x14ac:dyDescent="0.25">
      <c r="A47" s="44">
        <v>60327</v>
      </c>
      <c r="B47" s="15"/>
      <c r="C47" s="15"/>
      <c r="D47" s="15"/>
      <c r="E47" s="18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>
        <v>101381</v>
      </c>
      <c r="U47" s="15" t="s">
        <v>89</v>
      </c>
      <c r="V47" s="15"/>
    </row>
    <row r="48" spans="1:58" s="11" customFormat="1" x14ac:dyDescent="0.25">
      <c r="A48" s="45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4">
        <f>A49</f>
        <v>60359</v>
      </c>
      <c r="T48" s="22"/>
      <c r="U48" s="22"/>
      <c r="V48" s="22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</row>
    <row r="49" spans="1:58" x14ac:dyDescent="0.25">
      <c r="A49" s="44">
        <v>60359</v>
      </c>
      <c r="B49" s="15" t="s">
        <v>15</v>
      </c>
      <c r="C49" s="17">
        <v>45270</v>
      </c>
      <c r="D49" s="18">
        <v>6</v>
      </c>
      <c r="E49" s="18">
        <v>7</v>
      </c>
      <c r="F49" s="15">
        <v>732660</v>
      </c>
      <c r="G49" s="15">
        <v>75000</v>
      </c>
      <c r="H49" s="15">
        <f>F49-G49</f>
        <v>657660</v>
      </c>
      <c r="I49" s="15">
        <f>ROUND(H49*18%,0)</f>
        <v>118379</v>
      </c>
      <c r="J49" s="15">
        <f>H49+I49</f>
        <v>776039</v>
      </c>
      <c r="K49" s="15">
        <f>ROUND(H49*$K$6,0)</f>
        <v>6577</v>
      </c>
      <c r="L49" s="15">
        <f>ROUND(H49*5%,0)</f>
        <v>32883</v>
      </c>
      <c r="M49" s="15">
        <f>H49*10%</f>
        <v>65766</v>
      </c>
      <c r="N49" s="15"/>
      <c r="O49" s="15">
        <v>0</v>
      </c>
      <c r="P49" s="41">
        <f>I49</f>
        <v>118379</v>
      </c>
      <c r="Q49" s="15">
        <v>0</v>
      </c>
      <c r="R49" s="15">
        <f>H49-K49-L49-M49-N49-Q49</f>
        <v>552434</v>
      </c>
      <c r="S49" s="15"/>
      <c r="T49" s="15">
        <v>198000</v>
      </c>
      <c r="U49" s="15" t="s">
        <v>16</v>
      </c>
      <c r="V49" s="15">
        <f>SUM(R49:R51)-SUM(T49:T51)</f>
        <v>0</v>
      </c>
    </row>
    <row r="50" spans="1:58" x14ac:dyDescent="0.25">
      <c r="A50" s="44">
        <v>60359</v>
      </c>
      <c r="B50" s="15" t="s">
        <v>23</v>
      </c>
      <c r="C50" s="15"/>
      <c r="D50" s="15"/>
      <c r="E50" s="18">
        <v>7</v>
      </c>
      <c r="F50" s="15">
        <f>P49</f>
        <v>118379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41">
        <f>F50</f>
        <v>118379</v>
      </c>
      <c r="S50" s="15"/>
      <c r="T50" s="15">
        <v>354434</v>
      </c>
      <c r="U50" s="15" t="s">
        <v>27</v>
      </c>
      <c r="V50" s="15"/>
    </row>
    <row r="51" spans="1:58" x14ac:dyDescent="0.25">
      <c r="A51" s="44">
        <v>60359</v>
      </c>
      <c r="B51" s="15"/>
      <c r="C51" s="15"/>
      <c r="D51" s="15"/>
      <c r="E51" s="18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>
        <v>118379</v>
      </c>
      <c r="U51" s="15" t="s">
        <v>48</v>
      </c>
      <c r="V51" s="15"/>
    </row>
    <row r="52" spans="1:58" s="11" customFormat="1" x14ac:dyDescent="0.25">
      <c r="A52" s="45"/>
      <c r="B52" s="22"/>
      <c r="C52" s="22"/>
      <c r="D52" s="22"/>
      <c r="E52" s="22"/>
      <c r="F52" s="22"/>
      <c r="G52" s="22"/>
      <c r="H52" s="22"/>
      <c r="I52" s="23"/>
      <c r="J52" s="22"/>
      <c r="K52" s="23"/>
      <c r="L52" s="23"/>
      <c r="M52" s="23"/>
      <c r="N52" s="23"/>
      <c r="O52" s="23"/>
      <c r="P52" s="23"/>
      <c r="Q52" s="23"/>
      <c r="R52" s="22"/>
      <c r="S52" s="24">
        <f>A53</f>
        <v>60520</v>
      </c>
      <c r="T52" s="22"/>
      <c r="U52" s="22"/>
      <c r="V52" s="22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</row>
    <row r="53" spans="1:58" ht="28.5" x14ac:dyDescent="0.25">
      <c r="A53" s="44">
        <v>60520</v>
      </c>
      <c r="B53" s="25" t="s">
        <v>127</v>
      </c>
      <c r="C53" s="17">
        <v>45267</v>
      </c>
      <c r="D53" s="18">
        <v>6</v>
      </c>
      <c r="E53" s="18">
        <v>6</v>
      </c>
      <c r="F53" s="15">
        <v>372545</v>
      </c>
      <c r="G53" s="15">
        <v>0</v>
      </c>
      <c r="H53" s="15">
        <f>F53-G53</f>
        <v>372545</v>
      </c>
      <c r="I53" s="15">
        <f>ROUND(H53*18%,0)</f>
        <v>67058</v>
      </c>
      <c r="J53" s="15">
        <f>H53+I53</f>
        <v>439603</v>
      </c>
      <c r="K53" s="15">
        <f>ROUND(H53*$K$6,0)</f>
        <v>3725</v>
      </c>
      <c r="L53" s="15">
        <f>ROUND(H53*5%,0)</f>
        <v>18627</v>
      </c>
      <c r="M53" s="15">
        <f>H53*10%</f>
        <v>37254.5</v>
      </c>
      <c r="N53" s="15">
        <f>H53*10%</f>
        <v>37254.5</v>
      </c>
      <c r="O53" s="15">
        <v>0</v>
      </c>
      <c r="P53" s="41">
        <f>I53</f>
        <v>67058</v>
      </c>
      <c r="Q53" s="15">
        <v>0</v>
      </c>
      <c r="R53" s="15">
        <f>H53-K53-L53-M53-N53-Q53</f>
        <v>275684</v>
      </c>
      <c r="S53" s="15"/>
      <c r="T53" s="15">
        <v>198000</v>
      </c>
      <c r="U53" s="15" t="s">
        <v>18</v>
      </c>
      <c r="V53" s="15">
        <f>SUM(R53:R57)-SUM(T53:T57)</f>
        <v>1</v>
      </c>
    </row>
    <row r="54" spans="1:58" x14ac:dyDescent="0.25">
      <c r="A54" s="44">
        <v>60520</v>
      </c>
      <c r="B54" s="15" t="s">
        <v>23</v>
      </c>
      <c r="C54" s="15"/>
      <c r="D54" s="15"/>
      <c r="E54" s="18">
        <v>6</v>
      </c>
      <c r="F54" s="15">
        <f>P53</f>
        <v>67058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41">
        <f>F54</f>
        <v>67058</v>
      </c>
      <c r="S54" s="15"/>
      <c r="T54" s="15">
        <v>77683</v>
      </c>
      <c r="U54" s="15" t="s">
        <v>26</v>
      </c>
      <c r="V54" s="15"/>
    </row>
    <row r="55" spans="1:58" x14ac:dyDescent="0.25">
      <c r="A55" s="44">
        <v>60520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>
        <v>67058</v>
      </c>
      <c r="U55" s="15" t="s">
        <v>49</v>
      </c>
      <c r="V55" s="15"/>
    </row>
    <row r="56" spans="1:58" x14ac:dyDescent="0.25">
      <c r="A56" s="44">
        <v>60520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58" x14ac:dyDescent="0.25">
      <c r="A57" s="44">
        <v>60520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58" s="11" customFormat="1" x14ac:dyDescent="0.25">
      <c r="A58" s="45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4">
        <f>A59</f>
        <v>60521</v>
      </c>
      <c r="T58" s="22"/>
      <c r="U58" s="22"/>
      <c r="V58" s="22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</row>
    <row r="59" spans="1:58" ht="42.75" x14ac:dyDescent="0.25">
      <c r="A59" s="44">
        <v>60521</v>
      </c>
      <c r="B59" s="25" t="s">
        <v>128</v>
      </c>
      <c r="C59" s="17">
        <v>45339</v>
      </c>
      <c r="D59" s="18">
        <v>6</v>
      </c>
      <c r="E59" s="18">
        <v>19</v>
      </c>
      <c r="F59" s="15">
        <v>825222</v>
      </c>
      <c r="G59" s="15">
        <v>75000</v>
      </c>
      <c r="H59" s="15">
        <f>F59-G59</f>
        <v>750222</v>
      </c>
      <c r="I59" s="15">
        <f>ROUND(H59*18%,0)</f>
        <v>135040</v>
      </c>
      <c r="J59" s="15">
        <f>H59+I59</f>
        <v>885262</v>
      </c>
      <c r="K59" s="15">
        <f>ROUND(H59*$K$6,0)</f>
        <v>7502</v>
      </c>
      <c r="L59" s="15">
        <f>ROUND(H59*5%,0)</f>
        <v>37511</v>
      </c>
      <c r="M59" s="15">
        <f>H59*10%</f>
        <v>75022.2</v>
      </c>
      <c r="N59" s="15">
        <f>H59*10%</f>
        <v>75022.2</v>
      </c>
      <c r="O59" s="15">
        <v>0</v>
      </c>
      <c r="P59" s="41">
        <f>I59</f>
        <v>135040</v>
      </c>
      <c r="Q59" s="15">
        <v>347264</v>
      </c>
      <c r="R59" s="15">
        <f>H59-K59-L59-M59-N59-Q59</f>
        <v>207900.60000000009</v>
      </c>
      <c r="S59" s="15"/>
      <c r="T59" s="15">
        <v>247500</v>
      </c>
      <c r="U59" s="15" t="s">
        <v>41</v>
      </c>
      <c r="V59" s="15">
        <f>SUM(R59:R60)-SUM(T59:T60)</f>
        <v>-39599.399999999907</v>
      </c>
    </row>
    <row r="60" spans="1:58" x14ac:dyDescent="0.25">
      <c r="A60" s="44">
        <v>60521</v>
      </c>
      <c r="B60" s="15" t="s">
        <v>63</v>
      </c>
      <c r="C60" s="15"/>
      <c r="D60" s="15"/>
      <c r="E60" s="18">
        <v>19</v>
      </c>
      <c r="F60" s="15">
        <f>P59</f>
        <v>135040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1">
        <f>F60</f>
        <v>135040</v>
      </c>
      <c r="S60" s="15"/>
      <c r="T60" s="15">
        <v>135040</v>
      </c>
      <c r="U60" s="15" t="s">
        <v>80</v>
      </c>
      <c r="V60" s="15"/>
    </row>
    <row r="61" spans="1:58" s="11" customFormat="1" x14ac:dyDescent="0.25">
      <c r="A61" s="45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4">
        <f>A62</f>
        <v>60585</v>
      </c>
      <c r="T61" s="22"/>
      <c r="U61" s="22"/>
      <c r="V61" s="22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</row>
    <row r="62" spans="1:58" ht="42.75" x14ac:dyDescent="0.25">
      <c r="A62" s="44">
        <v>60585</v>
      </c>
      <c r="B62" s="25" t="s">
        <v>129</v>
      </c>
      <c r="C62" s="17">
        <v>45320</v>
      </c>
      <c r="D62" s="18">
        <v>6</v>
      </c>
      <c r="E62" s="18">
        <v>14</v>
      </c>
      <c r="F62" s="15">
        <v>343500</v>
      </c>
      <c r="G62" s="15">
        <v>0</v>
      </c>
      <c r="H62" s="15">
        <f>F62-G62</f>
        <v>343500</v>
      </c>
      <c r="I62" s="15">
        <f>ROUND(H62*18%,0)</f>
        <v>61830</v>
      </c>
      <c r="J62" s="15">
        <f>H62+I62</f>
        <v>405330</v>
      </c>
      <c r="K62" s="15">
        <f>ROUND(H62*$K$6,0)</f>
        <v>3435</v>
      </c>
      <c r="L62" s="15">
        <f>ROUND(H62*5%,0)</f>
        <v>17175</v>
      </c>
      <c r="M62" s="15">
        <v>0</v>
      </c>
      <c r="N62" s="15">
        <v>0</v>
      </c>
      <c r="O62" s="15">
        <v>0</v>
      </c>
      <c r="P62" s="41">
        <f>I62</f>
        <v>61830</v>
      </c>
      <c r="Q62" s="15">
        <v>0</v>
      </c>
      <c r="R62" s="15">
        <f>H62-K62-L62-M62-N62-Q62</f>
        <v>322890</v>
      </c>
      <c r="S62" s="15"/>
      <c r="T62" s="15">
        <v>148500</v>
      </c>
      <c r="U62" s="15" t="s">
        <v>40</v>
      </c>
      <c r="V62" s="15">
        <f>SUM(R62:R64)-SUM(T62:T64)</f>
        <v>0</v>
      </c>
    </row>
    <row r="63" spans="1:58" x14ac:dyDescent="0.25">
      <c r="A63" s="44">
        <v>60585</v>
      </c>
      <c r="B63" s="15" t="s">
        <v>63</v>
      </c>
      <c r="C63" s="15"/>
      <c r="D63" s="15"/>
      <c r="E63" s="18">
        <v>14</v>
      </c>
      <c r="F63" s="15">
        <f>P62</f>
        <v>61830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41">
        <f>F63</f>
        <v>61830</v>
      </c>
      <c r="S63" s="15"/>
      <c r="T63" s="15">
        <v>174390</v>
      </c>
      <c r="U63" s="15" t="s">
        <v>60</v>
      </c>
      <c r="V63" s="15"/>
    </row>
    <row r="64" spans="1:58" x14ac:dyDescent="0.25">
      <c r="A64" s="44">
        <v>60585</v>
      </c>
      <c r="B64" s="15"/>
      <c r="C64" s="15"/>
      <c r="D64" s="15"/>
      <c r="E64" s="18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>
        <v>61830</v>
      </c>
      <c r="U64" s="15" t="s">
        <v>75</v>
      </c>
      <c r="V64" s="15"/>
    </row>
    <row r="65" spans="1:58" s="11" customFormat="1" x14ac:dyDescent="0.25">
      <c r="A65" s="45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4">
        <f>A66</f>
        <v>60586</v>
      </c>
      <c r="T65" s="22"/>
      <c r="U65" s="22"/>
      <c r="V65" s="22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</row>
    <row r="66" spans="1:58" ht="42.75" x14ac:dyDescent="0.25">
      <c r="A66" s="44">
        <v>60586</v>
      </c>
      <c r="B66" s="25" t="s">
        <v>130</v>
      </c>
      <c r="C66" s="17">
        <v>45320</v>
      </c>
      <c r="D66" s="18">
        <v>6</v>
      </c>
      <c r="E66" s="18">
        <v>15</v>
      </c>
      <c r="F66" s="15">
        <v>343500</v>
      </c>
      <c r="G66" s="15">
        <v>0</v>
      </c>
      <c r="H66" s="15">
        <f>F66-G66</f>
        <v>343500</v>
      </c>
      <c r="I66" s="15">
        <f>ROUND(H66*18%,0)</f>
        <v>61830</v>
      </c>
      <c r="J66" s="15">
        <f>H66+I66</f>
        <v>405330</v>
      </c>
      <c r="K66" s="15">
        <f>ROUND(H66*$K$6,0)</f>
        <v>3435</v>
      </c>
      <c r="L66" s="15">
        <f>ROUND(H66*5%,0)</f>
        <v>17175</v>
      </c>
      <c r="M66" s="15">
        <v>0</v>
      </c>
      <c r="N66" s="15">
        <v>0</v>
      </c>
      <c r="O66" s="15">
        <v>0</v>
      </c>
      <c r="P66" s="41">
        <f>I66</f>
        <v>61830</v>
      </c>
      <c r="Q66" s="15">
        <v>0</v>
      </c>
      <c r="R66" s="15">
        <f>H66-K66-L66-M66-N66-Q66</f>
        <v>322890</v>
      </c>
      <c r="S66" s="15"/>
      <c r="T66" s="15">
        <v>99000</v>
      </c>
      <c r="U66" s="15" t="s">
        <v>39</v>
      </c>
      <c r="V66" s="15">
        <f>SUM(R66:R68)-SUM(T66:T68)</f>
        <v>0</v>
      </c>
    </row>
    <row r="67" spans="1:58" x14ac:dyDescent="0.25">
      <c r="A67" s="44">
        <v>60586</v>
      </c>
      <c r="B67" s="15" t="s">
        <v>63</v>
      </c>
      <c r="C67" s="15"/>
      <c r="D67" s="15"/>
      <c r="E67" s="18">
        <v>15</v>
      </c>
      <c r="F67" s="15">
        <f>P66</f>
        <v>61830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41">
        <f>F67</f>
        <v>61830</v>
      </c>
      <c r="S67" s="15"/>
      <c r="T67" s="15">
        <v>223890</v>
      </c>
      <c r="U67" s="15" t="s">
        <v>66</v>
      </c>
      <c r="V67" s="15"/>
    </row>
    <row r="68" spans="1:58" x14ac:dyDescent="0.25">
      <c r="A68" s="44">
        <v>60586</v>
      </c>
      <c r="B68" s="15"/>
      <c r="C68" s="15"/>
      <c r="D68" s="15"/>
      <c r="E68" s="18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>
        <v>61830</v>
      </c>
      <c r="U68" s="15" t="s">
        <v>74</v>
      </c>
      <c r="V68" s="15"/>
    </row>
    <row r="69" spans="1:58" s="11" customFormat="1" x14ac:dyDescent="0.25">
      <c r="A69" s="45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4">
        <f>A70</f>
        <v>60815</v>
      </c>
      <c r="T69" s="22"/>
      <c r="U69" s="22"/>
      <c r="V69" s="22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</row>
    <row r="70" spans="1:58" ht="42.75" x14ac:dyDescent="0.25">
      <c r="A70" s="44">
        <v>60815</v>
      </c>
      <c r="B70" s="25" t="s">
        <v>131</v>
      </c>
      <c r="C70" s="17">
        <v>45321</v>
      </c>
      <c r="D70" s="18">
        <v>6</v>
      </c>
      <c r="E70" s="18">
        <v>17</v>
      </c>
      <c r="F70" s="15">
        <v>889542</v>
      </c>
      <c r="G70" s="15">
        <v>87500</v>
      </c>
      <c r="H70" s="15">
        <f>F70-G70</f>
        <v>802042</v>
      </c>
      <c r="I70" s="15">
        <f>ROUND(H70*18%,0)</f>
        <v>144368</v>
      </c>
      <c r="J70" s="15">
        <f>H70+I70</f>
        <v>946410</v>
      </c>
      <c r="K70" s="15">
        <f>ROUND(H70*$K$6,0)</f>
        <v>8020</v>
      </c>
      <c r="L70" s="15">
        <f>ROUND(H70*5%,0)</f>
        <v>40102</v>
      </c>
      <c r="M70" s="15">
        <f>H70*10%</f>
        <v>80204.200000000012</v>
      </c>
      <c r="N70" s="15">
        <f>H70*10%</f>
        <v>80204.200000000012</v>
      </c>
      <c r="O70" s="15">
        <v>0</v>
      </c>
      <c r="P70" s="41">
        <f>I70</f>
        <v>144368</v>
      </c>
      <c r="Q70" s="15">
        <v>0</v>
      </c>
      <c r="R70" s="15">
        <f>H70-K70-L70-M70-N70-Q70</f>
        <v>593511.60000000009</v>
      </c>
      <c r="S70" s="15"/>
      <c r="T70" s="15">
        <v>247500</v>
      </c>
      <c r="U70" s="15" t="s">
        <v>38</v>
      </c>
      <c r="V70" s="15">
        <f>SUM(R70:R72)-SUM(T70:T72)</f>
        <v>-0.39999999990686774</v>
      </c>
    </row>
    <row r="71" spans="1:58" x14ac:dyDescent="0.25">
      <c r="A71" s="44">
        <v>60815</v>
      </c>
      <c r="B71" s="15" t="s">
        <v>63</v>
      </c>
      <c r="C71" s="15"/>
      <c r="D71" s="15"/>
      <c r="E71" s="18">
        <v>17</v>
      </c>
      <c r="F71" s="15">
        <f>P70</f>
        <v>144368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41">
        <f>F71</f>
        <v>144368</v>
      </c>
      <c r="S71" s="15"/>
      <c r="T71" s="15">
        <v>346012</v>
      </c>
      <c r="U71" s="15" t="s">
        <v>61</v>
      </c>
      <c r="V71" s="15"/>
    </row>
    <row r="72" spans="1:58" x14ac:dyDescent="0.25">
      <c r="A72" s="44">
        <v>60815</v>
      </c>
      <c r="B72" s="15"/>
      <c r="C72" s="15"/>
      <c r="D72" s="15"/>
      <c r="E72" s="18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>
        <v>144368</v>
      </c>
      <c r="U72" s="15" t="s">
        <v>72</v>
      </c>
      <c r="V72" s="15"/>
    </row>
    <row r="73" spans="1:58" s="11" customFormat="1" x14ac:dyDescent="0.25">
      <c r="A73" s="45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4">
        <f>A74</f>
        <v>61566</v>
      </c>
      <c r="T73" s="22"/>
      <c r="U73" s="22"/>
      <c r="V73" s="22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</row>
    <row r="74" spans="1:58" ht="28.5" x14ac:dyDescent="0.25">
      <c r="A74" s="44">
        <v>61566</v>
      </c>
      <c r="B74" s="25" t="s">
        <v>132</v>
      </c>
      <c r="C74" s="17">
        <v>45316</v>
      </c>
      <c r="D74" s="18">
        <v>6</v>
      </c>
      <c r="E74" s="18">
        <v>12</v>
      </c>
      <c r="F74" s="15">
        <v>662937</v>
      </c>
      <c r="G74" s="15">
        <v>164250</v>
      </c>
      <c r="H74" s="15">
        <f>F74-G74</f>
        <v>498687</v>
      </c>
      <c r="I74" s="15">
        <f>ROUND(H74*18%,0)</f>
        <v>89764</v>
      </c>
      <c r="J74" s="15">
        <f>H74+I74</f>
        <v>588451</v>
      </c>
      <c r="K74" s="15">
        <f>ROUND(H74*$K$6,0)</f>
        <v>4987</v>
      </c>
      <c r="L74" s="15">
        <f>ROUND(H74*5%,0)</f>
        <v>24934</v>
      </c>
      <c r="M74" s="15">
        <f>H74*10%</f>
        <v>49868.700000000004</v>
      </c>
      <c r="N74" s="15">
        <f>H74*10%</f>
        <v>49868.700000000004</v>
      </c>
      <c r="O74" s="15">
        <v>0</v>
      </c>
      <c r="P74" s="41">
        <f>I74</f>
        <v>89764</v>
      </c>
      <c r="Q74" s="15">
        <v>0</v>
      </c>
      <c r="R74" s="15">
        <f>H74-K74-L74-M74-N74-Q74</f>
        <v>369028.6</v>
      </c>
      <c r="S74" s="15"/>
      <c r="T74" s="15">
        <v>198000</v>
      </c>
      <c r="U74" s="15" t="s">
        <v>37</v>
      </c>
      <c r="V74" s="15">
        <f>SUM(R74:R76)-SUM(T74:T76)</f>
        <v>0.59999999997671694</v>
      </c>
    </row>
    <row r="75" spans="1:58" x14ac:dyDescent="0.25">
      <c r="A75" s="44">
        <v>61566</v>
      </c>
      <c r="B75" s="15" t="s">
        <v>63</v>
      </c>
      <c r="C75" s="15"/>
      <c r="D75" s="15"/>
      <c r="E75" s="18">
        <v>12</v>
      </c>
      <c r="F75" s="15">
        <f>P74</f>
        <v>89764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41">
        <f>F75</f>
        <v>89764</v>
      </c>
      <c r="S75" s="15"/>
      <c r="T75" s="15">
        <v>171028</v>
      </c>
      <c r="U75" s="15" t="s">
        <v>47</v>
      </c>
      <c r="V75" s="15"/>
    </row>
    <row r="76" spans="1:58" x14ac:dyDescent="0.25">
      <c r="A76" s="44">
        <v>61566</v>
      </c>
      <c r="B76" s="15"/>
      <c r="C76" s="15"/>
      <c r="D76" s="15"/>
      <c r="E76" s="18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>
        <v>89764</v>
      </c>
      <c r="U76" s="15" t="s">
        <v>69</v>
      </c>
      <c r="V76" s="15"/>
    </row>
    <row r="77" spans="1:58" s="11" customFormat="1" x14ac:dyDescent="0.25">
      <c r="A77" s="45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4">
        <f>A78</f>
        <v>61581</v>
      </c>
      <c r="T77" s="22"/>
      <c r="U77" s="22"/>
      <c r="V77" s="22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</row>
    <row r="78" spans="1:58" ht="28.5" x14ac:dyDescent="0.25">
      <c r="A78" s="44">
        <v>61581</v>
      </c>
      <c r="B78" s="25" t="s">
        <v>133</v>
      </c>
      <c r="C78" s="17">
        <v>45316</v>
      </c>
      <c r="D78" s="18">
        <v>6</v>
      </c>
      <c r="E78" s="18">
        <v>13</v>
      </c>
      <c r="F78" s="15">
        <v>593380</v>
      </c>
      <c r="G78" s="15">
        <v>143750</v>
      </c>
      <c r="H78" s="15">
        <f>F78-G78</f>
        <v>449630</v>
      </c>
      <c r="I78" s="15">
        <f>ROUND(H78*18%,0)</f>
        <v>80933</v>
      </c>
      <c r="J78" s="15">
        <f>H78+I78</f>
        <v>530563</v>
      </c>
      <c r="K78" s="15">
        <f>ROUND(H78*$K$6,0)</f>
        <v>4496</v>
      </c>
      <c r="L78" s="15">
        <f>ROUND(H78*5%,0)</f>
        <v>22482</v>
      </c>
      <c r="M78" s="15">
        <f>H78*10%</f>
        <v>44963</v>
      </c>
      <c r="N78" s="15">
        <f>H78*10%</f>
        <v>44963</v>
      </c>
      <c r="O78" s="15">
        <v>0</v>
      </c>
      <c r="P78" s="41">
        <f>I78</f>
        <v>80933</v>
      </c>
      <c r="Q78" s="15">
        <v>0</v>
      </c>
      <c r="R78" s="15">
        <f>H78-K78-L78-M78-N78-Q78</f>
        <v>332726</v>
      </c>
      <c r="S78" s="15"/>
      <c r="T78" s="15">
        <v>198000</v>
      </c>
      <c r="U78" s="15" t="s">
        <v>36</v>
      </c>
      <c r="V78" s="15">
        <f>SUM(R78:R80)-SUM(T78:T80)</f>
        <v>0</v>
      </c>
    </row>
    <row r="79" spans="1:58" x14ac:dyDescent="0.25">
      <c r="A79" s="44">
        <v>61581</v>
      </c>
      <c r="B79" s="15" t="s">
        <v>63</v>
      </c>
      <c r="C79" s="17"/>
      <c r="D79" s="18"/>
      <c r="E79" s="18">
        <v>13</v>
      </c>
      <c r="F79" s="15">
        <f>P78</f>
        <v>80933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41">
        <f>F79</f>
        <v>80933</v>
      </c>
      <c r="S79" s="15"/>
      <c r="T79" s="15">
        <v>134726</v>
      </c>
      <c r="U79" s="15" t="s">
        <v>46</v>
      </c>
      <c r="V79" s="15"/>
    </row>
    <row r="80" spans="1:58" x14ac:dyDescent="0.25">
      <c r="A80" s="44">
        <v>61581</v>
      </c>
      <c r="B80" s="15"/>
      <c r="C80" s="17"/>
      <c r="D80" s="18"/>
      <c r="E80" s="18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>
        <v>80933</v>
      </c>
      <c r="U80" s="15" t="s">
        <v>71</v>
      </c>
      <c r="V80" s="15"/>
    </row>
    <row r="81" spans="1:58" s="11" customFormat="1" x14ac:dyDescent="0.25">
      <c r="A81" s="45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4">
        <f>A82</f>
        <v>61582</v>
      </c>
      <c r="T81" s="22"/>
      <c r="U81" s="22"/>
      <c r="V81" s="22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</row>
    <row r="82" spans="1:58" ht="42.75" x14ac:dyDescent="0.25">
      <c r="A82" s="44">
        <v>61582</v>
      </c>
      <c r="B82" s="25" t="s">
        <v>134</v>
      </c>
      <c r="C82" s="17">
        <v>45351</v>
      </c>
      <c r="D82" s="18"/>
      <c r="E82" s="18">
        <v>21</v>
      </c>
      <c r="F82" s="15">
        <v>850633</v>
      </c>
      <c r="G82" s="15"/>
      <c r="H82" s="15">
        <f>F82-G82</f>
        <v>850633</v>
      </c>
      <c r="I82" s="15">
        <f>ROUND(H82*18%,0)</f>
        <v>153114</v>
      </c>
      <c r="J82" s="15">
        <f>H82+I82</f>
        <v>1003747</v>
      </c>
      <c r="K82" s="15">
        <f>ROUND(H82*$K$6,0)</f>
        <v>8506</v>
      </c>
      <c r="L82" s="15">
        <f>ROUND(H82*5%,0)</f>
        <v>42532</v>
      </c>
      <c r="M82" s="15">
        <f>H82*10%</f>
        <v>85063.3</v>
      </c>
      <c r="N82" s="15">
        <f>H82*10%</f>
        <v>85063.3</v>
      </c>
      <c r="O82" s="15">
        <v>0</v>
      </c>
      <c r="P82" s="41">
        <f>I82</f>
        <v>153114</v>
      </c>
      <c r="Q82" s="15">
        <v>0</v>
      </c>
      <c r="R82" s="15">
        <f>H82-K82-L82-M82-N82-Q82</f>
        <v>629468.39999999991</v>
      </c>
      <c r="S82" s="15"/>
      <c r="T82" s="15">
        <v>198000</v>
      </c>
      <c r="U82" s="15" t="s">
        <v>35</v>
      </c>
      <c r="V82" s="15">
        <f>SUM(R82:R85)-SUM(T82:T85)</f>
        <v>81468.399999999907</v>
      </c>
    </row>
    <row r="83" spans="1:58" x14ac:dyDescent="0.25">
      <c r="A83" s="44">
        <v>61582</v>
      </c>
      <c r="B83" s="15" t="s">
        <v>63</v>
      </c>
      <c r="C83" s="17"/>
      <c r="D83" s="18"/>
      <c r="E83" s="18">
        <v>13</v>
      </c>
      <c r="F83" s="15">
        <f>P82</f>
        <v>153114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41">
        <f>F83</f>
        <v>153114</v>
      </c>
      <c r="S83" s="15"/>
      <c r="T83" s="15">
        <v>200000</v>
      </c>
      <c r="U83" s="15" t="s">
        <v>64</v>
      </c>
      <c r="V83" s="15"/>
    </row>
    <row r="84" spans="1:58" x14ac:dyDescent="0.25">
      <c r="A84" s="44">
        <v>61582</v>
      </c>
      <c r="B84" s="15"/>
      <c r="C84" s="17"/>
      <c r="D84" s="18"/>
      <c r="E84" s="18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>
        <v>153114</v>
      </c>
      <c r="U84" s="15" t="s">
        <v>67</v>
      </c>
      <c r="V84" s="15"/>
    </row>
    <row r="85" spans="1:58" x14ac:dyDescent="0.25">
      <c r="A85" s="44">
        <v>61582</v>
      </c>
      <c r="B85" s="15"/>
      <c r="C85" s="17"/>
      <c r="D85" s="18"/>
      <c r="E85" s="18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>
        <v>150000</v>
      </c>
      <c r="U85" s="15" t="s">
        <v>68</v>
      </c>
      <c r="V85" s="15"/>
    </row>
    <row r="86" spans="1:58" s="11" customFormat="1" x14ac:dyDescent="0.25">
      <c r="A86" s="45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4">
        <f>A87</f>
        <v>61594</v>
      </c>
      <c r="T86" s="22"/>
      <c r="U86" s="22"/>
      <c r="V86" s="22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</row>
    <row r="87" spans="1:58" ht="42.75" x14ac:dyDescent="0.25">
      <c r="A87" s="44">
        <v>61594</v>
      </c>
      <c r="B87" s="25" t="s">
        <v>135</v>
      </c>
      <c r="C87" s="17">
        <v>45378</v>
      </c>
      <c r="D87" s="18"/>
      <c r="E87" s="18">
        <v>23</v>
      </c>
      <c r="F87" s="15">
        <v>867557</v>
      </c>
      <c r="G87" s="15"/>
      <c r="H87" s="15">
        <f>F87-G87</f>
        <v>867557</v>
      </c>
      <c r="I87" s="15">
        <f>ROUND(H87*18%,0)</f>
        <v>156160</v>
      </c>
      <c r="J87" s="15">
        <f>H87+I87</f>
        <v>1023717</v>
      </c>
      <c r="K87" s="15">
        <f>ROUND(H87*$K$6,0)</f>
        <v>8676</v>
      </c>
      <c r="L87" s="15">
        <f>ROUND(H87*5%,0)</f>
        <v>43378</v>
      </c>
      <c r="M87" s="15">
        <f>H87*10%</f>
        <v>86755.700000000012</v>
      </c>
      <c r="N87" s="15">
        <f>H87*10%</f>
        <v>86755.700000000012</v>
      </c>
      <c r="O87" s="15">
        <v>0</v>
      </c>
      <c r="P87" s="41">
        <f>I87</f>
        <v>156160</v>
      </c>
      <c r="Q87" s="15">
        <v>80300</v>
      </c>
      <c r="R87" s="15">
        <f>H87-K87-L87-M87-N87-Q87</f>
        <v>561691.60000000009</v>
      </c>
      <c r="S87" s="15"/>
      <c r="T87" s="15">
        <v>198000</v>
      </c>
      <c r="U87" s="15" t="s">
        <v>34</v>
      </c>
      <c r="V87" s="15">
        <f>SUM(R87:R90)-SUM(T87:T90)</f>
        <v>-0.39999999990686774</v>
      </c>
    </row>
    <row r="88" spans="1:58" x14ac:dyDescent="0.25">
      <c r="A88" s="44">
        <v>61594</v>
      </c>
      <c r="B88" s="15" t="s">
        <v>93</v>
      </c>
      <c r="C88" s="17"/>
      <c r="D88" s="18"/>
      <c r="E88" s="18">
        <v>23</v>
      </c>
      <c r="F88" s="15">
        <f>P87</f>
        <v>156160</v>
      </c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41">
        <f>F88</f>
        <v>156160</v>
      </c>
      <c r="S88" s="15"/>
      <c r="T88" s="15">
        <v>250000</v>
      </c>
      <c r="U88" s="15" t="s">
        <v>79</v>
      </c>
      <c r="V88" s="15"/>
    </row>
    <row r="89" spans="1:58" x14ac:dyDescent="0.25">
      <c r="A89" s="44">
        <v>61594</v>
      </c>
      <c r="B89" s="15"/>
      <c r="C89" s="17"/>
      <c r="D89" s="18"/>
      <c r="E89" s="18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>
        <v>113692</v>
      </c>
      <c r="U89" s="15" t="s">
        <v>84</v>
      </c>
      <c r="V89" s="15"/>
    </row>
    <row r="90" spans="1:58" x14ac:dyDescent="0.25">
      <c r="A90" s="44">
        <v>61594</v>
      </c>
      <c r="B90" s="15"/>
      <c r="C90" s="17"/>
      <c r="D90" s="18"/>
      <c r="E90" s="18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>
        <v>156160</v>
      </c>
      <c r="U90" s="15" t="s">
        <v>92</v>
      </c>
      <c r="V90" s="15"/>
    </row>
    <row r="91" spans="1:58" s="11" customFormat="1" x14ac:dyDescent="0.25">
      <c r="A91" s="45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4">
        <f>A92</f>
        <v>61794</v>
      </c>
      <c r="T91" s="22"/>
      <c r="U91" s="22"/>
      <c r="V91" s="22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</row>
    <row r="92" spans="1:58" ht="42.75" x14ac:dyDescent="0.25">
      <c r="A92" s="44">
        <v>61794</v>
      </c>
      <c r="B92" s="25" t="s">
        <v>136</v>
      </c>
      <c r="C92" s="17">
        <v>45351</v>
      </c>
      <c r="D92" s="18"/>
      <c r="E92" s="18">
        <v>20</v>
      </c>
      <c r="F92" s="15">
        <v>858602</v>
      </c>
      <c r="G92" s="15"/>
      <c r="H92" s="15">
        <f>F92-G92</f>
        <v>858602</v>
      </c>
      <c r="I92" s="15">
        <f>ROUND(H92*18%,0)</f>
        <v>154548</v>
      </c>
      <c r="J92" s="15">
        <f>H92+I92</f>
        <v>1013150</v>
      </c>
      <c r="K92" s="15">
        <f>ROUND(H92*$K$6,0)</f>
        <v>8586</v>
      </c>
      <c r="L92" s="15">
        <f>ROUND(H92*5%,0)</f>
        <v>42930</v>
      </c>
      <c r="M92" s="15">
        <f>H92*10%</f>
        <v>85860.200000000012</v>
      </c>
      <c r="N92" s="15">
        <f>H92*10%</f>
        <v>85860.200000000012</v>
      </c>
      <c r="O92" s="15">
        <v>0</v>
      </c>
      <c r="P92" s="41">
        <f>I92</f>
        <v>154548</v>
      </c>
      <c r="Q92" s="15">
        <v>0</v>
      </c>
      <c r="R92" s="15">
        <f>H92-K92-L92-M92-N92-Q92</f>
        <v>635365.60000000009</v>
      </c>
      <c r="S92" s="15"/>
      <c r="T92" s="15">
        <v>198000</v>
      </c>
      <c r="U92" s="15" t="s">
        <v>33</v>
      </c>
      <c r="V92" s="15">
        <f>SUM(R92:R95)-SUM(T92:T95)</f>
        <v>-1.3999999999068677</v>
      </c>
    </row>
    <row r="93" spans="1:58" x14ac:dyDescent="0.25">
      <c r="A93" s="44">
        <v>61794</v>
      </c>
      <c r="B93" s="15" t="s">
        <v>63</v>
      </c>
      <c r="C93" s="17"/>
      <c r="D93" s="18"/>
      <c r="E93" s="18">
        <v>20</v>
      </c>
      <c r="F93" s="15">
        <f>P92</f>
        <v>154548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41">
        <f>F93</f>
        <v>154548</v>
      </c>
      <c r="S93" s="15"/>
      <c r="T93" s="15">
        <v>437367</v>
      </c>
      <c r="U93" s="15" t="s">
        <v>65</v>
      </c>
      <c r="V93" s="15"/>
    </row>
    <row r="94" spans="1:58" x14ac:dyDescent="0.25">
      <c r="A94" s="44">
        <v>61794</v>
      </c>
      <c r="B94" s="25"/>
      <c r="C94" s="17"/>
      <c r="D94" s="18"/>
      <c r="E94" s="18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>
        <v>154548</v>
      </c>
      <c r="U94" s="15" t="s">
        <v>70</v>
      </c>
      <c r="V94" s="15"/>
    </row>
    <row r="95" spans="1:58" x14ac:dyDescent="0.25">
      <c r="A95" s="44">
        <v>61794</v>
      </c>
      <c r="B95" s="15"/>
      <c r="C95" s="17"/>
      <c r="D95" s="18"/>
      <c r="E95" s="18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58" s="11" customFormat="1" x14ac:dyDescent="0.25">
      <c r="A96" s="45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4">
        <f>A97</f>
        <v>61808</v>
      </c>
      <c r="T96" s="22"/>
      <c r="U96" s="22"/>
      <c r="V96" s="22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</row>
    <row r="97" spans="1:58" ht="42.75" x14ac:dyDescent="0.25">
      <c r="A97" s="44">
        <v>61808</v>
      </c>
      <c r="B97" s="25" t="s">
        <v>137</v>
      </c>
      <c r="C97" s="17">
        <v>45316</v>
      </c>
      <c r="D97" s="18">
        <v>6</v>
      </c>
      <c r="E97" s="18">
        <v>12</v>
      </c>
      <c r="F97" s="15">
        <v>409291</v>
      </c>
      <c r="G97" s="15">
        <v>105000</v>
      </c>
      <c r="H97" s="15">
        <f>F97-G97</f>
        <v>304291</v>
      </c>
      <c r="I97" s="15">
        <f>ROUND(H97*18%,0)</f>
        <v>54772</v>
      </c>
      <c r="J97" s="15">
        <f>H97+I97</f>
        <v>359063</v>
      </c>
      <c r="K97" s="15">
        <f>ROUND(H97*$K$6,0)</f>
        <v>3043</v>
      </c>
      <c r="L97" s="15">
        <f>ROUND(H97*5%,0)</f>
        <v>15215</v>
      </c>
      <c r="M97" s="15">
        <f>H97*10%</f>
        <v>30429.100000000002</v>
      </c>
      <c r="N97" s="15">
        <f>H97*10%</f>
        <v>30429.100000000002</v>
      </c>
      <c r="O97" s="15">
        <v>0</v>
      </c>
      <c r="P97" s="41">
        <f>I97</f>
        <v>54772</v>
      </c>
      <c r="Q97" s="15">
        <v>15881</v>
      </c>
      <c r="R97" s="15">
        <f>H97-K97-L97-M97-N97-Q97</f>
        <v>209293.8</v>
      </c>
      <c r="S97" s="15"/>
      <c r="T97" s="15">
        <v>209294</v>
      </c>
      <c r="U97" s="15" t="s">
        <v>45</v>
      </c>
      <c r="V97" s="15">
        <f>SUM(R97:R98)-SUM(T97:T98)</f>
        <v>-0.20000000001164153</v>
      </c>
    </row>
    <row r="98" spans="1:58" x14ac:dyDescent="0.25">
      <c r="A98" s="44">
        <v>61808</v>
      </c>
      <c r="B98" s="15" t="s">
        <v>63</v>
      </c>
      <c r="C98" s="17"/>
      <c r="D98" s="18"/>
      <c r="E98" s="18">
        <v>12</v>
      </c>
      <c r="F98" s="15">
        <f>P97</f>
        <v>54772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41">
        <f>F98</f>
        <v>54772</v>
      </c>
      <c r="S98" s="15"/>
      <c r="T98" s="15">
        <v>54772</v>
      </c>
      <c r="U98" s="15" t="s">
        <v>83</v>
      </c>
      <c r="V98" s="15"/>
    </row>
    <row r="99" spans="1:58" x14ac:dyDescent="0.25">
      <c r="A99" s="44">
        <v>61808</v>
      </c>
      <c r="B99" s="15"/>
      <c r="C99" s="17"/>
      <c r="D99" s="18"/>
      <c r="E99" s="18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</row>
    <row r="100" spans="1:58" s="11" customFormat="1" x14ac:dyDescent="0.25">
      <c r="A100" s="45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4">
        <f>A101</f>
        <v>61821</v>
      </c>
      <c r="T100" s="22"/>
      <c r="U100" s="22"/>
      <c r="V100" s="22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</row>
    <row r="101" spans="1:58" ht="42.75" x14ac:dyDescent="0.25">
      <c r="A101" s="44">
        <v>61821</v>
      </c>
      <c r="B101" s="25" t="s">
        <v>138</v>
      </c>
      <c r="C101" s="17"/>
      <c r="D101" s="18"/>
      <c r="E101" s="18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>
        <v>148500</v>
      </c>
      <c r="U101" s="15" t="s">
        <v>43</v>
      </c>
      <c r="V101" s="15">
        <f>SUM(R101:R102)-SUM(T101:T102)</f>
        <v>-148500</v>
      </c>
    </row>
    <row r="102" spans="1:58" x14ac:dyDescent="0.25">
      <c r="A102" s="44">
        <v>61821</v>
      </c>
      <c r="B102" s="15"/>
      <c r="C102" s="17"/>
      <c r="D102" s="18"/>
      <c r="E102" s="18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</row>
    <row r="103" spans="1:58" s="11" customFormat="1" x14ac:dyDescent="0.25">
      <c r="A103" s="45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4">
        <f>A104</f>
        <v>61856</v>
      </c>
      <c r="T103" s="22"/>
      <c r="U103" s="22"/>
      <c r="V103" s="22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</row>
    <row r="104" spans="1:58" ht="42.75" x14ac:dyDescent="0.25">
      <c r="A104" s="44">
        <v>61856</v>
      </c>
      <c r="B104" s="25" t="s">
        <v>139</v>
      </c>
      <c r="C104" s="17"/>
      <c r="D104" s="18"/>
      <c r="E104" s="18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>
        <v>198000</v>
      </c>
      <c r="U104" s="15" t="s">
        <v>44</v>
      </c>
      <c r="V104" s="15">
        <f>SUM(R103:R104)-SUM(T103:T104)</f>
        <v>-198000</v>
      </c>
    </row>
    <row r="105" spans="1:58" x14ac:dyDescent="0.25">
      <c r="A105" s="45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4">
        <f>A106</f>
        <v>63285</v>
      </c>
      <c r="T105" s="22"/>
      <c r="U105" s="22"/>
      <c r="V105" s="22"/>
    </row>
    <row r="106" spans="1:58" ht="28.5" x14ac:dyDescent="0.25">
      <c r="A106" s="44">
        <v>63285</v>
      </c>
      <c r="B106" s="25" t="s">
        <v>140</v>
      </c>
      <c r="C106" s="17">
        <v>45377</v>
      </c>
      <c r="D106" s="18">
        <v>6</v>
      </c>
      <c r="E106" s="18">
        <v>22</v>
      </c>
      <c r="F106" s="15">
        <v>222000</v>
      </c>
      <c r="G106" s="15">
        <v>0</v>
      </c>
      <c r="H106" s="15">
        <f>F106-G106</f>
        <v>222000</v>
      </c>
      <c r="I106" s="15">
        <f>ROUND(H106*18%,0)</f>
        <v>39960</v>
      </c>
      <c r="J106" s="15">
        <f>H106+I106</f>
        <v>261960</v>
      </c>
      <c r="K106" s="15">
        <f>ROUND(H106*$K$6,0)</f>
        <v>2220</v>
      </c>
      <c r="L106" s="15">
        <f>ROUND(H106*5%,0)</f>
        <v>11100</v>
      </c>
      <c r="M106" s="15"/>
      <c r="N106" s="15"/>
      <c r="O106" s="15">
        <v>0</v>
      </c>
      <c r="P106" s="41">
        <f>I106</f>
        <v>39960</v>
      </c>
      <c r="Q106" s="15">
        <v>0</v>
      </c>
      <c r="R106" s="15">
        <f>H106-K106-L106-M106-N106-Q106</f>
        <v>208680</v>
      </c>
      <c r="S106" s="15"/>
      <c r="T106" s="15">
        <v>208680</v>
      </c>
      <c r="U106" s="15" t="s">
        <v>85</v>
      </c>
      <c r="V106" s="15">
        <f>SUM(R106:R109)-SUM(T106:T109)</f>
        <v>114680</v>
      </c>
    </row>
    <row r="107" spans="1:58" x14ac:dyDescent="0.25">
      <c r="A107" s="44">
        <v>63285</v>
      </c>
      <c r="B107" s="15" t="s">
        <v>63</v>
      </c>
      <c r="C107" s="17"/>
      <c r="D107" s="18"/>
      <c r="E107" s="18"/>
      <c r="F107" s="15">
        <f>P106</f>
        <v>39960</v>
      </c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41">
        <f>F107</f>
        <v>39960</v>
      </c>
      <c r="S107" s="15"/>
      <c r="T107" s="15">
        <v>39960</v>
      </c>
      <c r="U107" s="15" t="s">
        <v>95</v>
      </c>
      <c r="V107" s="15"/>
    </row>
    <row r="108" spans="1:58" ht="28.5" x14ac:dyDescent="0.25">
      <c r="A108" s="44">
        <v>63285</v>
      </c>
      <c r="B108" s="25" t="s">
        <v>140</v>
      </c>
      <c r="C108" s="17">
        <v>45640</v>
      </c>
      <c r="D108" s="18">
        <v>6</v>
      </c>
      <c r="E108" s="18">
        <v>3</v>
      </c>
      <c r="F108" s="15">
        <v>122000</v>
      </c>
      <c r="G108" s="15">
        <v>0</v>
      </c>
      <c r="H108" s="15">
        <f>F108-G108</f>
        <v>122000</v>
      </c>
      <c r="I108" s="15">
        <f>ROUND(H108*18%,0)</f>
        <v>21960</v>
      </c>
      <c r="J108" s="15">
        <f>H108+I108</f>
        <v>143960</v>
      </c>
      <c r="K108" s="15">
        <f>ROUND(H108*$K$6,0)</f>
        <v>1220</v>
      </c>
      <c r="L108" s="15">
        <f>ROUND(H108*5%,0)</f>
        <v>6100</v>
      </c>
      <c r="M108" s="15"/>
      <c r="N108" s="15"/>
      <c r="O108" s="15">
        <v>0</v>
      </c>
      <c r="P108" s="41">
        <f>I108</f>
        <v>21960</v>
      </c>
      <c r="Q108" s="15">
        <v>0</v>
      </c>
      <c r="R108" s="15">
        <f>H108-K108-L108-M108-N108-Q108</f>
        <v>114680</v>
      </c>
      <c r="S108" s="15"/>
      <c r="T108" s="15">
        <v>21960</v>
      </c>
      <c r="U108" s="15" t="s">
        <v>98</v>
      </c>
      <c r="V108" s="15"/>
    </row>
    <row r="109" spans="1:58" x14ac:dyDescent="0.25">
      <c r="A109" s="44">
        <v>63285</v>
      </c>
      <c r="B109" s="25" t="s">
        <v>63</v>
      </c>
      <c r="C109" s="17"/>
      <c r="D109" s="18"/>
      <c r="E109" s="18">
        <v>3</v>
      </c>
      <c r="F109" s="15">
        <f>P108</f>
        <v>21960</v>
      </c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41">
        <f>F109</f>
        <v>21960</v>
      </c>
      <c r="S109" s="15"/>
      <c r="T109" s="15"/>
      <c r="U109" s="15"/>
      <c r="V109" s="15"/>
    </row>
    <row r="110" spans="1:58" x14ac:dyDescent="0.25">
      <c r="A110" s="45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4">
        <f>A111</f>
        <v>64191</v>
      </c>
      <c r="T110" s="22"/>
      <c r="U110" s="22"/>
      <c r="V110" s="22"/>
    </row>
    <row r="111" spans="1:58" x14ac:dyDescent="0.25">
      <c r="A111" s="44">
        <v>64191</v>
      </c>
      <c r="B111" s="25" t="s">
        <v>141</v>
      </c>
      <c r="C111" s="17">
        <v>45469</v>
      </c>
      <c r="D111" s="18">
        <v>6</v>
      </c>
      <c r="E111" s="18">
        <v>1</v>
      </c>
      <c r="F111" s="15">
        <v>654705</v>
      </c>
      <c r="G111" s="15">
        <v>0</v>
      </c>
      <c r="H111" s="15">
        <f>F111-G111</f>
        <v>654705</v>
      </c>
      <c r="I111" s="15">
        <f>ROUND(H111*18%,0)</f>
        <v>117847</v>
      </c>
      <c r="J111" s="15">
        <f>H111+I111</f>
        <v>772552</v>
      </c>
      <c r="K111" s="15">
        <f>ROUND(H111*$K$6,0)</f>
        <v>6547</v>
      </c>
      <c r="L111" s="15">
        <f>ROUND(H111*5%,0)</f>
        <v>32735</v>
      </c>
      <c r="M111" s="15">
        <f>H111*10%</f>
        <v>65470.5</v>
      </c>
      <c r="N111" s="15">
        <f>H111*10%</f>
        <v>65470.5</v>
      </c>
      <c r="O111" s="15">
        <v>0</v>
      </c>
      <c r="P111" s="41">
        <f>I111</f>
        <v>117847</v>
      </c>
      <c r="Q111" s="15">
        <v>0</v>
      </c>
      <c r="R111" s="15">
        <f>H111-K111-L111-M111-N111-Q111</f>
        <v>484482</v>
      </c>
      <c r="S111" s="15"/>
      <c r="T111" s="15">
        <v>99000</v>
      </c>
      <c r="U111" s="15" t="s">
        <v>77</v>
      </c>
      <c r="V111" s="15">
        <f>SUM(R111:R114)-SUM(T111:T114)</f>
        <v>85482</v>
      </c>
    </row>
    <row r="112" spans="1:58" x14ac:dyDescent="0.25">
      <c r="A112" s="44">
        <v>64191</v>
      </c>
      <c r="B112" s="25" t="s">
        <v>63</v>
      </c>
      <c r="C112" s="17"/>
      <c r="D112" s="18"/>
      <c r="E112" s="18">
        <v>1</v>
      </c>
      <c r="F112" s="15">
        <f>P111</f>
        <v>117847</v>
      </c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41">
        <f>F112</f>
        <v>117847</v>
      </c>
      <c r="S112" s="15"/>
      <c r="T112" s="15">
        <v>150000</v>
      </c>
      <c r="U112" s="15" t="s">
        <v>82</v>
      </c>
      <c r="V112" s="15"/>
    </row>
    <row r="113" spans="1:22" x14ac:dyDescent="0.25">
      <c r="A113" s="44">
        <v>64191</v>
      </c>
      <c r="B113" s="25"/>
      <c r="C113" s="17"/>
      <c r="D113" s="18"/>
      <c r="E113" s="18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>
        <v>150000</v>
      </c>
      <c r="U113" s="15" t="s">
        <v>86</v>
      </c>
      <c r="V113" s="15"/>
    </row>
    <row r="114" spans="1:22" x14ac:dyDescent="0.25">
      <c r="A114" s="44">
        <v>64191</v>
      </c>
      <c r="B114" s="25"/>
      <c r="C114" s="17"/>
      <c r="D114" s="18"/>
      <c r="E114" s="18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>
        <v>117847</v>
      </c>
      <c r="U114" s="15" t="s">
        <v>96</v>
      </c>
      <c r="V114" s="15"/>
    </row>
    <row r="115" spans="1:22" x14ac:dyDescent="0.25">
      <c r="A115" s="45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4">
        <v>64354</v>
      </c>
      <c r="T115" s="22"/>
      <c r="U115" s="22"/>
      <c r="V115" s="22"/>
    </row>
    <row r="116" spans="1:22" x14ac:dyDescent="0.25">
      <c r="A116" s="44">
        <v>64354</v>
      </c>
      <c r="B116" s="25" t="s">
        <v>142</v>
      </c>
      <c r="C116" s="17"/>
      <c r="D116" s="18"/>
      <c r="E116" s="18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>
        <v>99000</v>
      </c>
      <c r="U116" s="15" t="s">
        <v>94</v>
      </c>
      <c r="V116" s="15">
        <f>SUM(R116:R117)-SUM(T116:T117)</f>
        <v>-99000</v>
      </c>
    </row>
    <row r="117" spans="1:22" x14ac:dyDescent="0.25">
      <c r="A117" s="44"/>
      <c r="B117" s="25"/>
      <c r="C117" s="17"/>
      <c r="D117" s="18"/>
      <c r="E117" s="18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</row>
    <row r="118" spans="1:22" x14ac:dyDescent="0.25">
      <c r="A118" s="45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4">
        <f>A119</f>
        <v>64467</v>
      </c>
      <c r="T118" s="22"/>
      <c r="U118" s="22"/>
      <c r="V118" s="22"/>
    </row>
    <row r="119" spans="1:22" ht="28.5" x14ac:dyDescent="0.25">
      <c r="A119" s="44">
        <v>64467</v>
      </c>
      <c r="B119" s="25" t="s">
        <v>143</v>
      </c>
      <c r="C119" s="17">
        <v>45640</v>
      </c>
      <c r="D119" s="18">
        <v>5</v>
      </c>
      <c r="E119" s="18">
        <v>5</v>
      </c>
      <c r="F119" s="15">
        <v>304794</v>
      </c>
      <c r="G119" s="15">
        <v>0</v>
      </c>
      <c r="H119" s="15">
        <f>F119-G119</f>
        <v>304794</v>
      </c>
      <c r="I119" s="15">
        <f>ROUND(H119*18%,0)</f>
        <v>54863</v>
      </c>
      <c r="J119" s="15">
        <f>H119+I119</f>
        <v>359657</v>
      </c>
      <c r="K119" s="15">
        <f>ROUND(H119*$K$6,0)</f>
        <v>3048</v>
      </c>
      <c r="L119" s="15">
        <f>ROUND(H119*5%,0)</f>
        <v>15240</v>
      </c>
      <c r="M119" s="15"/>
      <c r="N119" s="15"/>
      <c r="O119" s="15">
        <v>0</v>
      </c>
      <c r="P119" s="41">
        <f>I119</f>
        <v>54863</v>
      </c>
      <c r="Q119" s="15">
        <v>0</v>
      </c>
      <c r="R119" s="15">
        <f>H119-K119-L119-M119-N119-Q119</f>
        <v>286506</v>
      </c>
      <c r="S119" s="15"/>
      <c r="T119" s="15">
        <v>99000</v>
      </c>
      <c r="U119" s="15" t="s">
        <v>90</v>
      </c>
      <c r="V119" s="15">
        <f>SUM(R119:R120)-SUM(T119:T120)</f>
        <v>242369</v>
      </c>
    </row>
    <row r="120" spans="1:22" x14ac:dyDescent="0.25">
      <c r="A120" s="44">
        <v>64467</v>
      </c>
      <c r="B120" s="15" t="s">
        <v>63</v>
      </c>
      <c r="C120" s="17"/>
      <c r="D120" s="18"/>
      <c r="E120" s="18">
        <v>5</v>
      </c>
      <c r="F120" s="15">
        <f>P119</f>
        <v>54863</v>
      </c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41">
        <f>F120</f>
        <v>54863</v>
      </c>
      <c r="S120" s="15"/>
      <c r="T120" s="15"/>
      <c r="U120" s="15"/>
      <c r="V120" s="15"/>
    </row>
    <row r="121" spans="1:22" x14ac:dyDescent="0.25">
      <c r="A121" s="45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4">
        <v>64468</v>
      </c>
      <c r="T121" s="22"/>
      <c r="U121" s="22"/>
      <c r="V121" s="22"/>
    </row>
    <row r="122" spans="1:22" x14ac:dyDescent="0.25">
      <c r="A122" s="44">
        <v>64468</v>
      </c>
      <c r="B122" s="25" t="s">
        <v>144</v>
      </c>
      <c r="C122" s="17">
        <v>45640</v>
      </c>
      <c r="D122" s="18">
        <v>4</v>
      </c>
      <c r="E122" s="18">
        <v>4</v>
      </c>
      <c r="F122" s="15">
        <v>240188</v>
      </c>
      <c r="G122" s="15">
        <v>0</v>
      </c>
      <c r="H122" s="15">
        <f>F122-G122</f>
        <v>240188</v>
      </c>
      <c r="I122" s="15">
        <f>ROUND(H122*18%,0)</f>
        <v>43234</v>
      </c>
      <c r="J122" s="15">
        <f>H122+I122</f>
        <v>283422</v>
      </c>
      <c r="K122" s="15">
        <f>ROUND(H122*$K$6,0)</f>
        <v>2402</v>
      </c>
      <c r="L122" s="15">
        <f>ROUND(H122*5%,0)</f>
        <v>12009</v>
      </c>
      <c r="M122" s="15"/>
      <c r="N122" s="15"/>
      <c r="O122" s="15">
        <v>0</v>
      </c>
      <c r="P122" s="41">
        <f>I122</f>
        <v>43234</v>
      </c>
      <c r="Q122" s="15">
        <v>0</v>
      </c>
      <c r="R122" s="15">
        <f>H122-K122-L122-M122-N122-Q122</f>
        <v>225777</v>
      </c>
      <c r="S122" s="15"/>
      <c r="T122" s="15">
        <v>43234</v>
      </c>
      <c r="U122" s="15" t="s">
        <v>97</v>
      </c>
      <c r="V122" s="15">
        <f>SUM(R122:R124)-SUM(T122:T124)</f>
        <v>225777</v>
      </c>
    </row>
    <row r="123" spans="1:22" x14ac:dyDescent="0.25">
      <c r="A123" s="44">
        <v>64468</v>
      </c>
      <c r="B123" s="15" t="s">
        <v>63</v>
      </c>
      <c r="C123" s="17"/>
      <c r="D123" s="18"/>
      <c r="E123" s="18">
        <v>4</v>
      </c>
      <c r="F123" s="15">
        <f>P122</f>
        <v>43234</v>
      </c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1">
        <f>F123</f>
        <v>43234</v>
      </c>
      <c r="S123" s="15"/>
      <c r="T123" s="15"/>
      <c r="U123" s="15"/>
      <c r="V123" s="15"/>
    </row>
    <row r="124" spans="1:22" x14ac:dyDescent="0.25">
      <c r="A124" s="44">
        <v>64468</v>
      </c>
      <c r="B124" s="25"/>
      <c r="C124" s="17"/>
      <c r="D124" s="18"/>
      <c r="E124" s="18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</row>
    <row r="125" spans="1:22" x14ac:dyDescent="0.25">
      <c r="A125" s="45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4">
        <f>A126</f>
        <v>65865</v>
      </c>
      <c r="T125" s="22"/>
      <c r="U125" s="22"/>
      <c r="V125" s="22"/>
    </row>
    <row r="126" spans="1:22" ht="42.75" x14ac:dyDescent="0.25">
      <c r="A126" s="44">
        <v>65865</v>
      </c>
      <c r="B126" s="25" t="s">
        <v>145</v>
      </c>
      <c r="C126" s="17"/>
      <c r="D126" s="18"/>
      <c r="E126" s="18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>
        <v>99000</v>
      </c>
      <c r="U126" s="15" t="s">
        <v>91</v>
      </c>
      <c r="V126" s="15">
        <f>SUM(R126:R127)-SUM(T126:T127)</f>
        <v>-99000</v>
      </c>
    </row>
    <row r="127" spans="1:22" x14ac:dyDescent="0.25">
      <c r="A127" s="44"/>
      <c r="B127" s="25"/>
      <c r="C127" s="17"/>
      <c r="D127" s="18"/>
      <c r="E127" s="18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</row>
    <row r="128" spans="1:22" x14ac:dyDescent="0.25">
      <c r="A128" s="45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4">
        <f>A129</f>
        <v>67331</v>
      </c>
      <c r="T128" s="22"/>
      <c r="U128" s="22"/>
      <c r="V128" s="22"/>
    </row>
    <row r="129" spans="1:22" s="65" customFormat="1" ht="28.5" x14ac:dyDescent="0.25">
      <c r="A129" s="60">
        <v>67331</v>
      </c>
      <c r="B129" s="61" t="s">
        <v>147</v>
      </c>
      <c r="C129" s="62">
        <v>45640</v>
      </c>
      <c r="D129" s="63">
        <v>4</v>
      </c>
      <c r="E129" s="63">
        <v>2</v>
      </c>
      <c r="F129" s="64">
        <v>140000</v>
      </c>
      <c r="G129" s="64">
        <v>0</v>
      </c>
      <c r="H129" s="64">
        <f>F129-G129</f>
        <v>140000</v>
      </c>
      <c r="I129" s="64">
        <f>ROUND(H129*18%,0)</f>
        <v>25200</v>
      </c>
      <c r="J129" s="64">
        <f>H129+I129</f>
        <v>165200</v>
      </c>
      <c r="K129" s="64">
        <f>ROUND(H129*$K$6,0)</f>
        <v>1400</v>
      </c>
      <c r="L129" s="64">
        <f>ROUND(H129*5%,0)</f>
        <v>7000</v>
      </c>
      <c r="M129" s="64"/>
      <c r="N129" s="64"/>
      <c r="O129" s="64">
        <v>0</v>
      </c>
      <c r="P129" s="41">
        <f>I129</f>
        <v>25200</v>
      </c>
      <c r="Q129" s="64">
        <v>70000</v>
      </c>
      <c r="R129" s="64">
        <f>H129-K129-L129-M129-N129-Q129</f>
        <v>61600</v>
      </c>
      <c r="S129" s="64"/>
      <c r="T129" s="64"/>
      <c r="U129" s="64"/>
      <c r="V129" s="64">
        <f>SUM(R129:R130)-SUM(T129:T130)</f>
        <v>86800</v>
      </c>
    </row>
    <row r="130" spans="1:22" x14ac:dyDescent="0.25">
      <c r="A130" s="44">
        <v>67331</v>
      </c>
      <c r="B130" s="15" t="s">
        <v>63</v>
      </c>
      <c r="C130" s="17"/>
      <c r="D130" s="18"/>
      <c r="E130" s="18">
        <v>2</v>
      </c>
      <c r="F130" s="15">
        <f>P129</f>
        <v>25200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41">
        <f>F130</f>
        <v>25200</v>
      </c>
      <c r="S130" s="15"/>
      <c r="T130" s="15"/>
      <c r="U130" s="15"/>
      <c r="V130" s="15"/>
    </row>
    <row r="131" spans="1:22" x14ac:dyDescent="0.25">
      <c r="A131" s="45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4">
        <f>A132</f>
        <v>68215</v>
      </c>
      <c r="T131" s="22"/>
      <c r="U131" s="22"/>
      <c r="V131" s="22"/>
    </row>
    <row r="132" spans="1:22" ht="51" x14ac:dyDescent="0.25">
      <c r="A132" s="44">
        <v>68215</v>
      </c>
      <c r="B132" s="51" t="s">
        <v>146</v>
      </c>
      <c r="C132" s="17">
        <v>45716</v>
      </c>
      <c r="D132" s="18">
        <v>4</v>
      </c>
      <c r="E132" s="18">
        <v>6</v>
      </c>
      <c r="F132" s="15">
        <v>117846</v>
      </c>
      <c r="G132" s="15">
        <v>0</v>
      </c>
      <c r="H132" s="15">
        <f>F132-G132</f>
        <v>117846</v>
      </c>
      <c r="I132" s="15">
        <f>ROUND(H132*18%,0)</f>
        <v>21212</v>
      </c>
      <c r="J132" s="15">
        <f>H132+I132</f>
        <v>139058</v>
      </c>
      <c r="K132" s="15">
        <f>(H132*$K$6)</f>
        <v>1178.46</v>
      </c>
      <c r="L132" s="15">
        <f>(H132*5%)</f>
        <v>5892.3</v>
      </c>
      <c r="M132" s="15"/>
      <c r="N132" s="15"/>
      <c r="O132" s="15">
        <v>0</v>
      </c>
      <c r="P132" s="41">
        <f>I132</f>
        <v>21212</v>
      </c>
      <c r="Q132" s="15">
        <v>0</v>
      </c>
      <c r="R132" s="15">
        <f>H132-K132-L132-M132-N132-Q132</f>
        <v>110775.23999999999</v>
      </c>
      <c r="S132" s="15"/>
      <c r="T132" s="15"/>
      <c r="U132" s="15"/>
      <c r="V132" s="15">
        <f>SUM(R132:R133)-SUM(T132:T133)</f>
        <v>131987.24</v>
      </c>
    </row>
    <row r="133" spans="1:22" x14ac:dyDescent="0.25">
      <c r="A133" s="44">
        <v>68215</v>
      </c>
      <c r="B133" s="15" t="s">
        <v>63</v>
      </c>
      <c r="C133" s="17"/>
      <c r="D133" s="18"/>
      <c r="E133" s="18">
        <v>2</v>
      </c>
      <c r="F133" s="15">
        <f>P132</f>
        <v>21212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41">
        <f>F133</f>
        <v>21212</v>
      </c>
      <c r="S133" s="15"/>
      <c r="T133" s="15"/>
      <c r="U133" s="15"/>
      <c r="V133" s="15"/>
    </row>
    <row r="134" spans="1:22" ht="15.75" thickBot="1" x14ac:dyDescent="0.3">
      <c r="A134" s="44">
        <v>68215</v>
      </c>
      <c r="B134" s="35"/>
      <c r="C134" s="33"/>
      <c r="D134" s="34"/>
      <c r="E134" s="34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</row>
    <row r="135" spans="1:22" x14ac:dyDescent="0.25">
      <c r="A135" s="46"/>
      <c r="B135" s="27"/>
      <c r="C135" s="27"/>
      <c r="D135" s="27"/>
      <c r="E135" s="27"/>
      <c r="F135" s="27"/>
      <c r="G135" s="27"/>
      <c r="H135" s="27"/>
      <c r="I135" s="27"/>
      <c r="J135" s="27"/>
      <c r="K135" s="28"/>
      <c r="L135" s="29">
        <f t="shared" ref="L135:P135" si="0">SUM(L8:L127)</f>
        <v>737638.7</v>
      </c>
      <c r="M135" s="29">
        <f t="shared" si="0"/>
        <v>1264336.3999999999</v>
      </c>
      <c r="N135" s="29">
        <f t="shared" si="0"/>
        <v>1126128.1000000001</v>
      </c>
      <c r="O135" s="29">
        <f t="shared" si="0"/>
        <v>0</v>
      </c>
      <c r="P135" s="29">
        <f t="shared" si="0"/>
        <v>2655500.12</v>
      </c>
      <c r="Q135" s="29">
        <f>SUM(Q8:Q127)</f>
        <v>631726</v>
      </c>
      <c r="R135" s="29">
        <f>SUM(R8:R134)</f>
        <v>13719709.619999999</v>
      </c>
      <c r="S135" s="29"/>
      <c r="T135" s="29">
        <f>SUM(T7:T134)</f>
        <v>13705374</v>
      </c>
      <c r="U135" s="27"/>
      <c r="V135" s="29">
        <f>SUM(V7:V134)</f>
        <v>14335.620000000345</v>
      </c>
    </row>
    <row r="136" spans="1:22" x14ac:dyDescent="0.25">
      <c r="A136" s="44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</row>
    <row r="137" spans="1:22" ht="15.75" thickBot="1" x14ac:dyDescent="0.3">
      <c r="A137" s="42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30">
        <f>R135-T135</f>
        <v>14335.61999999918</v>
      </c>
      <c r="U137" s="30"/>
      <c r="V137" s="26"/>
    </row>
    <row r="138" spans="1:22" x14ac:dyDescent="0.25">
      <c r="A138" s="47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15.75" thickBot="1" x14ac:dyDescent="0.3">
      <c r="A139" s="47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19.5" thickBot="1" x14ac:dyDescent="0.3">
      <c r="N140" s="70" t="s">
        <v>78</v>
      </c>
      <c r="O140" s="70"/>
      <c r="P140" s="70"/>
    </row>
    <row r="141" spans="1:22" ht="19.5" thickBot="1" x14ac:dyDescent="0.3">
      <c r="N141" s="66">
        <v>45738</v>
      </c>
      <c r="O141" s="67"/>
      <c r="P141" s="67"/>
    </row>
    <row r="142" spans="1:22" ht="15.75" x14ac:dyDescent="0.25">
      <c r="N142" s="68" t="s">
        <v>29</v>
      </c>
      <c r="O142" s="68"/>
      <c r="P142" s="50">
        <f>L135+M135+N135</f>
        <v>3128103.2</v>
      </c>
    </row>
    <row r="143" spans="1:22" ht="15.75" x14ac:dyDescent="0.25">
      <c r="N143" s="69" t="s">
        <v>73</v>
      </c>
      <c r="O143" s="69"/>
      <c r="P143" s="9">
        <f>Q135</f>
        <v>631726</v>
      </c>
    </row>
    <row r="144" spans="1:22" ht="15.75" x14ac:dyDescent="0.25">
      <c r="A144" s="48"/>
      <c r="N144" s="72" t="s">
        <v>30</v>
      </c>
      <c r="O144" s="73"/>
      <c r="P144" s="9">
        <f>T137</f>
        <v>14335.61999999918</v>
      </c>
    </row>
    <row r="145" spans="14:16" ht="15.75" x14ac:dyDescent="0.25">
      <c r="N145" s="69" t="s">
        <v>31</v>
      </c>
      <c r="O145" s="69"/>
      <c r="P145" s="49" t="s">
        <v>57</v>
      </c>
    </row>
    <row r="146" spans="14:16" ht="16.5" thickBot="1" x14ac:dyDescent="0.3">
      <c r="N146" s="71" t="s">
        <v>62</v>
      </c>
      <c r="O146" s="71"/>
      <c r="P146" s="10" t="s">
        <v>57</v>
      </c>
    </row>
  </sheetData>
  <mergeCells count="7">
    <mergeCell ref="N141:P141"/>
    <mergeCell ref="N142:O142"/>
    <mergeCell ref="N145:O145"/>
    <mergeCell ref="N140:P140"/>
    <mergeCell ref="N146:O146"/>
    <mergeCell ref="N143:O143"/>
    <mergeCell ref="N144:O14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2024-06-01T05:31:43Z</cp:lastPrinted>
  <dcterms:created xsi:type="dcterms:W3CDTF">2022-06-10T14:11:52Z</dcterms:created>
  <dcterms:modified xsi:type="dcterms:W3CDTF">2025-05-29T11:24:36Z</dcterms:modified>
</cp:coreProperties>
</file>