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CA0B2E35-0E25-429A-A5F1-D1C40035A6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3)" sheetId="3" r:id="rId1"/>
    <sheet name="Sheet1" sheetId="1" r:id="rId2"/>
    <sheet name="Sheet1 (2)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6" i="3" l="1"/>
  <c r="M49" i="3"/>
  <c r="J49" i="3"/>
  <c r="G49" i="3"/>
  <c r="L49" i="3" s="1"/>
  <c r="Q48" i="3"/>
  <c r="H42" i="3"/>
  <c r="O42" i="3" s="1"/>
  <c r="G42" i="3"/>
  <c r="K42" i="3" s="1"/>
  <c r="Q41" i="3"/>
  <c r="N36" i="3"/>
  <c r="N56" i="3" s="1"/>
  <c r="N67" i="3" s="1"/>
  <c r="G36" i="3"/>
  <c r="I36" i="3" s="1"/>
  <c r="G35" i="3"/>
  <c r="J35" i="3" s="1"/>
  <c r="Q34" i="3"/>
  <c r="P29" i="3"/>
  <c r="P28" i="3"/>
  <c r="O27" i="3"/>
  <c r="J27" i="3"/>
  <c r="P27" i="3" s="1"/>
  <c r="Q26" i="3"/>
  <c r="G23" i="3"/>
  <c r="J23" i="3" s="1"/>
  <c r="Q22" i="3"/>
  <c r="P18" i="3"/>
  <c r="G17" i="3"/>
  <c r="J17" i="3" s="1"/>
  <c r="P16" i="3"/>
  <c r="G14" i="3"/>
  <c r="J14" i="3" s="1"/>
  <c r="Q13" i="3"/>
  <c r="P10" i="3"/>
  <c r="P9" i="3"/>
  <c r="H8" i="3"/>
  <c r="O8" i="3" s="1"/>
  <c r="G8" i="3"/>
  <c r="K8" i="3" s="1"/>
  <c r="Q7" i="3"/>
  <c r="R55" i="2"/>
  <c r="G48" i="2"/>
  <c r="K48" i="2" s="1"/>
  <c r="Q47" i="2"/>
  <c r="G41" i="2"/>
  <c r="J41" i="2" s="1"/>
  <c r="Q40" i="2"/>
  <c r="N35" i="2"/>
  <c r="G35" i="2"/>
  <c r="I35" i="2" s="1"/>
  <c r="G34" i="2"/>
  <c r="M34" i="2" s="1"/>
  <c r="Q33" i="2"/>
  <c r="P28" i="2"/>
  <c r="P27" i="2"/>
  <c r="O26" i="2"/>
  <c r="J26" i="2"/>
  <c r="P26" i="2" s="1"/>
  <c r="T30" i="2" s="1"/>
  <c r="Q25" i="2"/>
  <c r="M22" i="2"/>
  <c r="G22" i="2"/>
  <c r="K22" i="2" s="1"/>
  <c r="Q21" i="2"/>
  <c r="P17" i="2"/>
  <c r="G16" i="2"/>
  <c r="K16" i="2" s="1"/>
  <c r="P15" i="2"/>
  <c r="L13" i="2"/>
  <c r="G13" i="2"/>
  <c r="K13" i="2" s="1"/>
  <c r="Q12" i="2"/>
  <c r="P9" i="2"/>
  <c r="P8" i="2"/>
  <c r="G7" i="2"/>
  <c r="K7" i="2" s="1"/>
  <c r="Q6" i="2"/>
  <c r="O44" i="1"/>
  <c r="H16" i="2" l="1"/>
  <c r="I16" i="2" s="1"/>
  <c r="P36" i="3"/>
  <c r="J42" i="3"/>
  <c r="T31" i="3"/>
  <c r="L42" i="3"/>
  <c r="M13" i="2"/>
  <c r="L16" i="2"/>
  <c r="M16" i="2"/>
  <c r="J8" i="3"/>
  <c r="L8" i="3"/>
  <c r="M8" i="3"/>
  <c r="M42" i="3"/>
  <c r="K14" i="3"/>
  <c r="K17" i="3"/>
  <c r="K56" i="3" s="1"/>
  <c r="K23" i="3"/>
  <c r="K35" i="3"/>
  <c r="I8" i="3"/>
  <c r="H14" i="3"/>
  <c r="O14" i="3" s="1"/>
  <c r="E15" i="3" s="1"/>
  <c r="P15" i="3" s="1"/>
  <c r="L14" i="3"/>
  <c r="H17" i="3"/>
  <c r="O17" i="3" s="1"/>
  <c r="L17" i="3"/>
  <c r="H23" i="3"/>
  <c r="O23" i="3" s="1"/>
  <c r="E24" i="3" s="1"/>
  <c r="P24" i="3" s="1"/>
  <c r="L23" i="3"/>
  <c r="H35" i="3"/>
  <c r="O35" i="3" s="1"/>
  <c r="L35" i="3"/>
  <c r="I42" i="3"/>
  <c r="P42" i="3" s="1"/>
  <c r="T47" i="3" s="1"/>
  <c r="I14" i="3"/>
  <c r="M14" i="3"/>
  <c r="M17" i="3"/>
  <c r="M23" i="3"/>
  <c r="M35" i="3"/>
  <c r="K49" i="3"/>
  <c r="H49" i="3"/>
  <c r="L7" i="2"/>
  <c r="P35" i="2"/>
  <c r="H7" i="2"/>
  <c r="O7" i="2" s="1"/>
  <c r="H48" i="2"/>
  <c r="O48" i="2" s="1"/>
  <c r="L48" i="2"/>
  <c r="M7" i="2"/>
  <c r="J34" i="2"/>
  <c r="H22" i="2"/>
  <c r="I22" i="2" s="1"/>
  <c r="J7" i="2"/>
  <c r="H13" i="2"/>
  <c r="O13" i="2" s="1"/>
  <c r="E14" i="2" s="1"/>
  <c r="P14" i="2" s="1"/>
  <c r="L22" i="2"/>
  <c r="M48" i="2"/>
  <c r="N55" i="2"/>
  <c r="N66" i="2" s="1"/>
  <c r="K34" i="2"/>
  <c r="H41" i="2"/>
  <c r="O41" i="2" s="1"/>
  <c r="L41" i="2"/>
  <c r="J13" i="2"/>
  <c r="J16" i="2"/>
  <c r="J22" i="2"/>
  <c r="H34" i="2"/>
  <c r="O34" i="2" s="1"/>
  <c r="L34" i="2"/>
  <c r="M41" i="2"/>
  <c r="M55" i="2" s="1"/>
  <c r="J48" i="2"/>
  <c r="K41" i="2"/>
  <c r="K55" i="2" s="1"/>
  <c r="R73" i="1"/>
  <c r="P46" i="1"/>
  <c r="J44" i="1"/>
  <c r="P44" i="1" s="1"/>
  <c r="L55" i="2" l="1"/>
  <c r="N65" i="2" s="1"/>
  <c r="O22" i="2"/>
  <c r="E23" i="2" s="1"/>
  <c r="P23" i="2" s="1"/>
  <c r="L56" i="3"/>
  <c r="O16" i="2"/>
  <c r="I7" i="2"/>
  <c r="P7" i="2" s="1"/>
  <c r="I23" i="3"/>
  <c r="P8" i="3"/>
  <c r="T12" i="3" s="1"/>
  <c r="M56" i="3"/>
  <c r="N66" i="3" s="1"/>
  <c r="O49" i="3"/>
  <c r="O56" i="3" s="1"/>
  <c r="I49" i="3"/>
  <c r="P49" i="3" s="1"/>
  <c r="T55" i="3" s="1"/>
  <c r="P23" i="3"/>
  <c r="T25" i="3" s="1"/>
  <c r="P14" i="3"/>
  <c r="I35" i="3"/>
  <c r="P35" i="3" s="1"/>
  <c r="T40" i="3" s="1"/>
  <c r="I17" i="3"/>
  <c r="P17" i="3" s="1"/>
  <c r="I48" i="2"/>
  <c r="I13" i="2"/>
  <c r="P13" i="2" s="1"/>
  <c r="P16" i="2"/>
  <c r="T11" i="2"/>
  <c r="I34" i="2"/>
  <c r="P34" i="2" s="1"/>
  <c r="T39" i="2" s="1"/>
  <c r="I41" i="2"/>
  <c r="P41" i="2" s="1"/>
  <c r="T46" i="2" s="1"/>
  <c r="P48" i="2"/>
  <c r="T54" i="2" s="1"/>
  <c r="P45" i="1"/>
  <c r="T48" i="1" s="1"/>
  <c r="G39" i="1"/>
  <c r="J39" i="1" s="1"/>
  <c r="G38" i="1"/>
  <c r="J38" i="1" s="1"/>
  <c r="G37" i="1"/>
  <c r="J37" i="1" s="1"/>
  <c r="G36" i="1"/>
  <c r="J36" i="1" s="1"/>
  <c r="G35" i="1"/>
  <c r="J35" i="1" s="1"/>
  <c r="P56" i="3" l="1"/>
  <c r="R58" i="3" s="1"/>
  <c r="N69" i="3" s="1"/>
  <c r="O55" i="2"/>
  <c r="P22" i="2"/>
  <c r="T24" i="2" s="1"/>
  <c r="T21" i="3"/>
  <c r="T56" i="3" s="1"/>
  <c r="T20" i="2"/>
  <c r="T55" i="2" s="1"/>
  <c r="H36" i="1"/>
  <c r="I36" i="1" s="1"/>
  <c r="P36" i="1" s="1"/>
  <c r="H38" i="1"/>
  <c r="I38" i="1" s="1"/>
  <c r="P38" i="1" s="1"/>
  <c r="H37" i="1"/>
  <c r="I37" i="1" s="1"/>
  <c r="P37" i="1" s="1"/>
  <c r="H39" i="1"/>
  <c r="I39" i="1" s="1"/>
  <c r="P39" i="1" s="1"/>
  <c r="H35" i="1"/>
  <c r="I35" i="1" s="1"/>
  <c r="P35" i="1" s="1"/>
  <c r="P17" i="1"/>
  <c r="P15" i="1"/>
  <c r="P9" i="1"/>
  <c r="P8" i="1"/>
  <c r="P55" i="2" l="1"/>
  <c r="R57" i="2" s="1"/>
  <c r="N68" i="2" s="1"/>
  <c r="G16" i="1"/>
  <c r="Q6" i="1"/>
  <c r="Q12" i="1"/>
  <c r="Q21" i="1"/>
  <c r="Q25" i="1"/>
  <c r="Q43" i="1"/>
  <c r="Q51" i="1"/>
  <c r="Q58" i="1"/>
  <c r="G34" i="1"/>
  <c r="J34" i="1" s="1"/>
  <c r="G33" i="1"/>
  <c r="J33" i="1" s="1"/>
  <c r="G32" i="1"/>
  <c r="J32" i="1" s="1"/>
  <c r="E31" i="1"/>
  <c r="G31" i="1" s="1"/>
  <c r="J31" i="1" s="1"/>
  <c r="E30" i="1"/>
  <c r="G30" i="1" s="1"/>
  <c r="J30" i="1" s="1"/>
  <c r="E29" i="1"/>
  <c r="G29" i="1" s="1"/>
  <c r="J29" i="1" s="1"/>
  <c r="E28" i="1"/>
  <c r="G28" i="1" s="1"/>
  <c r="J28" i="1" s="1"/>
  <c r="E27" i="1"/>
  <c r="G27" i="1" s="1"/>
  <c r="J27" i="1" s="1"/>
  <c r="E26" i="1"/>
  <c r="G26" i="1" s="1"/>
  <c r="J26" i="1" s="1"/>
  <c r="L16" i="1" l="1"/>
  <c r="J16" i="1"/>
  <c r="M16" i="1"/>
  <c r="H16" i="1"/>
  <c r="O16" i="1" s="1"/>
  <c r="K16" i="1"/>
  <c r="H26" i="1"/>
  <c r="I26" i="1" s="1"/>
  <c r="P26" i="1" s="1"/>
  <c r="H27" i="1"/>
  <c r="I27" i="1" s="1"/>
  <c r="P27" i="1" s="1"/>
  <c r="H28" i="1"/>
  <c r="I28" i="1" s="1"/>
  <c r="P28" i="1" s="1"/>
  <c r="H29" i="1"/>
  <c r="I29" i="1" s="1"/>
  <c r="P29" i="1" s="1"/>
  <c r="H30" i="1"/>
  <c r="I30" i="1" s="1"/>
  <c r="P30" i="1" s="1"/>
  <c r="H31" i="1"/>
  <c r="I31" i="1" s="1"/>
  <c r="P31" i="1" s="1"/>
  <c r="H32" i="1"/>
  <c r="I32" i="1" s="1"/>
  <c r="P32" i="1" s="1"/>
  <c r="H33" i="1"/>
  <c r="I33" i="1" s="1"/>
  <c r="P33" i="1" s="1"/>
  <c r="H34" i="1"/>
  <c r="I34" i="1" s="1"/>
  <c r="P34" i="1" s="1"/>
  <c r="T42" i="1" l="1"/>
  <c r="I16" i="1"/>
  <c r="P16" i="1" s="1"/>
  <c r="Q65" i="1"/>
  <c r="G66" i="1"/>
  <c r="G59" i="1"/>
  <c r="J59" i="1" l="1"/>
  <c r="M59" i="1"/>
  <c r="L59" i="1"/>
  <c r="K59" i="1"/>
  <c r="M66" i="1"/>
  <c r="J66" i="1"/>
  <c r="H59" i="1"/>
  <c r="O59" i="1" s="1"/>
  <c r="H66" i="1"/>
  <c r="O66" i="1" s="1"/>
  <c r="K66" i="1"/>
  <c r="L66" i="1"/>
  <c r="I66" i="1" l="1"/>
  <c r="P66" i="1" s="1"/>
  <c r="T72" i="1" s="1"/>
  <c r="I59" i="1"/>
  <c r="P59" i="1" s="1"/>
  <c r="T64" i="1" s="1"/>
  <c r="N53" i="1" l="1"/>
  <c r="N73" i="1" s="1"/>
  <c r="N84" i="1" s="1"/>
  <c r="G53" i="1"/>
  <c r="I53" i="1" s="1"/>
  <c r="G52" i="1"/>
  <c r="M52" i="1" l="1"/>
  <c r="J52" i="1"/>
  <c r="P53" i="1"/>
  <c r="H52" i="1"/>
  <c r="O52" i="1" s="1"/>
  <c r="L52" i="1"/>
  <c r="K52" i="1"/>
  <c r="I52" i="1" l="1"/>
  <c r="P52" i="1" s="1"/>
  <c r="T57" i="1" s="1"/>
  <c r="G22" i="1" l="1"/>
  <c r="L22" i="1" s="1"/>
  <c r="K22" i="1" l="1"/>
  <c r="M22" i="1"/>
  <c r="H22" i="1"/>
  <c r="O22" i="1" s="1"/>
  <c r="E23" i="1" s="1"/>
  <c r="P23" i="1" s="1"/>
  <c r="J22" i="1"/>
  <c r="I22" i="1" l="1"/>
  <c r="P22" i="1" s="1"/>
  <c r="T24" i="1" s="1"/>
  <c r="G13" i="1" l="1"/>
  <c r="L13" i="1" l="1"/>
  <c r="J13" i="1"/>
  <c r="K13" i="1"/>
  <c r="M13" i="1"/>
  <c r="H13" i="1"/>
  <c r="O13" i="1" s="1"/>
  <c r="E14" i="1" s="1"/>
  <c r="P14" i="1" s="1"/>
  <c r="I13" i="1" l="1"/>
  <c r="P13" i="1" s="1"/>
  <c r="T20" i="1" l="1"/>
  <c r="G7" i="1"/>
  <c r="L7" i="1" l="1"/>
  <c r="L73" i="1" s="1"/>
  <c r="J7" i="1"/>
  <c r="K7" i="1"/>
  <c r="K73" i="1" s="1"/>
  <c r="M7" i="1"/>
  <c r="M73" i="1" s="1"/>
  <c r="H7" i="1"/>
  <c r="O7" i="1" s="1"/>
  <c r="O73" i="1" s="1"/>
  <c r="N83" i="1" l="1"/>
  <c r="I7" i="1"/>
  <c r="P7" i="1" s="1"/>
  <c r="T11" i="1" l="1"/>
  <c r="P73" i="1"/>
  <c r="R75" i="1" s="1"/>
  <c r="N86" i="1" s="1"/>
</calcChain>
</file>

<file path=xl/sharedStrings.xml><?xml version="1.0" encoding="utf-8"?>
<sst xmlns="http://schemas.openxmlformats.org/spreadsheetml/2006/main" count="284" uniqueCount="114">
  <si>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</si>
  <si>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</si>
  <si>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</si>
  <si>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</si>
  <si>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</si>
  <si>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</si>
  <si>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</si>
  <si>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</si>
  <si>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</si>
  <si>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</si>
  <si>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</si>
  <si>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</si>
  <si>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</si>
  <si>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</si>
  <si>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</si>
  <si>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Pipe Laying work</t>
  </si>
  <si>
    <t>On Commissioning</t>
  </si>
  <si>
    <t>Hydro Testing</t>
  </si>
  <si>
    <t>Hold the Amount because the Qty. is more then the DPR</t>
  </si>
  <si>
    <t>shamli UP</t>
  </si>
  <si>
    <t>J B construction</t>
  </si>
  <si>
    <t>Patnipratap pur Village Pipe laying work.</t>
  </si>
  <si>
    <t>06-03-2023 NEFT/AXISP00369190887/RIUP22/2485/JB CONSTRUCTION 294000.00</t>
  </si>
  <si>
    <t>27-03-2023 NEFT/AXISP00374603536/RIUP22/2737/JB CONSTRUCTION 588000.00</t>
  </si>
  <si>
    <t>11-04-2023 NEFT/AXISP00380905286/SPUP23/0069/JB CONSTRUCTION 392000.00</t>
  </si>
  <si>
    <t>Kamalpur Village - Pipeline Laying work</t>
  </si>
  <si>
    <t>20-08-2022 NEFT/AXISP00313071461/RIUP22/552/JB CONSTRUCTION 294000.00</t>
  </si>
  <si>
    <t>15-09-2022 NEFT/AXISP00320351183/RIUP22/755/JB CONSTRUCTION 98000.00</t>
  </si>
  <si>
    <t>11-10-2022 NEFT/AXISP00327625487/RIUP22/952/JB CONSTRUCTION 196000.00</t>
  </si>
  <si>
    <t>Gujjarpur Village - Pipeline Laying work</t>
  </si>
  <si>
    <t>GST Release Note</t>
  </si>
  <si>
    <t>20-08-2022 NEFT/AXISP00313071462/RIUP22/553/JB CONSTRUCTION 294000.00</t>
  </si>
  <si>
    <t>15-09-2022 NEFT/AXISP00320351184/RIUP22/756/JB CONSTRUCTION 98000.00</t>
  </si>
  <si>
    <t>Khorsama Village - Pipeline Laying work</t>
  </si>
  <si>
    <t>09-08-2022 NEFT/AXISP00310655305/RIUP22/478/JB CONSTRUCTION 1078000.00</t>
  </si>
  <si>
    <t>20-10-2022 NEFT/AXISP00330179785/RIUP22/1054/JB CONSTRUCTION 490000.00</t>
  </si>
  <si>
    <t>All Village, Shamli</t>
  </si>
  <si>
    <t>03-09-2022 NEFT/AXISP00317096341/RIUP22/632/JB CONSTRUCTION 1580157.00</t>
  </si>
  <si>
    <t>06-10-2022 NEFT/AXISP00325907757/RIUP22/905/JB CONSTRUCTION 1414677.00</t>
  </si>
  <si>
    <t>15-10-2022 NEFT/AXISP00328688446/RIUP22/997/JB CONSTRUCTION 509352.00</t>
  </si>
  <si>
    <t>29-11-2022 NEFT/AXISP00341027431/RIUP22/1351/JB CONSTRUCTION 1178537.00</t>
  </si>
  <si>
    <t>17-01-2023 NEFT/AXISP00355565995/RIUP22/1879/JB CONSTRUCTION 1220727.00</t>
  </si>
  <si>
    <t>01-03-2023 NEFT/AXISP00367214841/RIUP22/2388/JB CONSTRUCTION 1126961.00</t>
  </si>
  <si>
    <t>19-04-2023 19-04-2023 NEFT/AXISP00382928303/SPUP23/0138/JB CONSTRUCTION 771938.00</t>
  </si>
  <si>
    <t>03-05-2023 NEFT/AXISP00386899991/SPUP23/0315/JB CONSTRUCTION 1376490.00</t>
  </si>
  <si>
    <t>09-06-2023 NEFT/AXISP00397387015/RIUP23/566/JB CONSTRUCTION 1502196.00</t>
  </si>
  <si>
    <t>Sakauti Village Pipeline laying work</t>
  </si>
  <si>
    <t>GST release note</t>
  </si>
  <si>
    <t>29-12-2022 NEFT/AXISP00349704439/RIUP22/1673/JB CONSTRUCTION 4,62,493.00</t>
  </si>
  <si>
    <t>04-01-2023 NEFT/AXISP00351843470/RIUP22/1792/JB CONSTRUCTION 150000.00</t>
  </si>
  <si>
    <t>24-01-2023 NEFT/AXISP00356990153/RIUP22/1981/JB CONSTRUCTION ₹ 1,88,927.00</t>
  </si>
  <si>
    <t>23-02-2023 NEFT/AXISP00365243877/RIUP22/2282/JB CONSTRUCTION 49000.00</t>
  </si>
  <si>
    <t xml:space="preserve">Singara Village Pipe laying work </t>
  </si>
  <si>
    <t>31-01-2023 NEFT/AXISP00358425194/RIUP22/2017/JB CONSTRUCTION 579144.00</t>
  </si>
  <si>
    <t>17-02-2023 NEFT/AXISP00364121245/RIUP22/2207/JB CONSTRUCTION 98000.00</t>
  </si>
  <si>
    <t>26-04-2023 26-04-2023 NEFT/AXISP00384433560/SPUP23/0281/JB CONSTRUCTION 183331.00</t>
  </si>
  <si>
    <t>04-05-2023 NEFT/AXISP00387370513/SPUP23/0337/JB CONSTRUCTION 178406.00</t>
  </si>
  <si>
    <t>10-05-2023 NEFT/AXISP00388990953/RIUP23/181/JB CONSTRUCTION 358128.00</t>
  </si>
  <si>
    <t>Pipe Line Work AT Udpur Village</t>
  </si>
  <si>
    <t>25-07-2023 NEFT/AXISP00409091577/RIUP23/1208/JB CONSTRUCTION 1475551.00</t>
  </si>
  <si>
    <t>28-09-2023 NEFT/AXISP00428160235/RIUP23/2345/JB CONSTRUCTION/PUNB0090010 1000000.00</t>
  </si>
  <si>
    <t>11-10-2023 NEFT/AXISP00433203139/RIUP23/2624/JB CONSTRUCTION/PUNB0090010 286108.00</t>
  </si>
  <si>
    <t>22-09-2023 NEFT/AXISP00426907957/RIUP23/2168/JB CONSTRUCTION/PUNB0090010 963006.00</t>
  </si>
  <si>
    <t>20-12-2022 NEFT/AXISP00347626041/RIUP22/1582/JB CONSTRUCTION 130000.00</t>
  </si>
  <si>
    <t>GST</t>
  </si>
  <si>
    <t>20-12-2022 NEFT/AXISP00347626040/RIUP22/1583/JB CONSTRUCTION 130000.00</t>
  </si>
  <si>
    <t>21-12-2022 NEFT/AXISP00347813403/RIUP22/1585/JBCONSTRUCTION 89743.00</t>
  </si>
  <si>
    <t>17-10-2023 NEFT/AXISP00435127444/RIUP23/2679/JB CONSTRUCTION/PUNB0090010 163661.00</t>
  </si>
  <si>
    <t>30-06-2023 NEFT/AXISP00402149244/RIUP23/948/JB CONSTRUCTION 2588698.00</t>
  </si>
  <si>
    <t>03-11-2023 NEFT/AXISP00440155808/RIUP23/3023/JB CONSTRUCTION/PUNB0090010 295838.00</t>
  </si>
  <si>
    <t>Hold amount release note</t>
  </si>
  <si>
    <t>Bill is in multi layer</t>
  </si>
  <si>
    <t>05-12-2023 NEFT/AXISP00449670535/RIUP23/3590/JB CONSTRUCTION/PUNB0090010 40355.00</t>
  </si>
  <si>
    <t>RR</t>
  </si>
  <si>
    <t>28-11-2023 NEFT/AXISP00446984646/RIUP23/2582/JB CONSTRUCTION/PUNB0090010 1000000.00</t>
  </si>
  <si>
    <t>18-12-2023 NEFT/AXISP00453696667/RIUP23/3825/JB CONSTRUCTION/PUNB0090010 ₹ 3,00,000.00</t>
  </si>
  <si>
    <t>Pea Gravel supply</t>
  </si>
  <si>
    <t>16-02-2024 NEFT/AXISP00472105182/RIUP23/4731/JB CONSTRUCTION/PUNB0090010 400000.00</t>
  </si>
  <si>
    <t>Bill is in single layer</t>
  </si>
  <si>
    <t>DPR excess not withheld</t>
  </si>
  <si>
    <t>Total paid</t>
  </si>
  <si>
    <t>Balance Payable</t>
  </si>
  <si>
    <t>J B CONSTRUCTION</t>
  </si>
  <si>
    <t>Total Hold</t>
  </si>
  <si>
    <t>Extra hold</t>
  </si>
  <si>
    <t>GST reamaining</t>
  </si>
  <si>
    <t>Advance/ Surplus</t>
  </si>
  <si>
    <t>Updated on - 3-8-24 - Girija</t>
  </si>
  <si>
    <t>Nil</t>
  </si>
  <si>
    <t>Kamalpur Village  Pipeline Laying work</t>
  </si>
  <si>
    <t>Gujjarpur Village  Pipeline Laying work</t>
  </si>
  <si>
    <t>Khorsama Village Pipeline Laying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</si>
  <si>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</si>
  <si>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</si>
  <si>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</si>
  <si>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</si>
  <si>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</si>
  <si>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</si>
  <si>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</si>
  <si>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</si>
  <si>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</si>
  <si>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</si>
  <si>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</si>
  <si>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</si>
  <si>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</si>
  <si>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</si>
  <si>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</si>
  <si>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</si>
  <si>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</si>
  <si>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</si>
  <si>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</si>
  <si>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</si>
  <si>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</si>
  <si>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Gujjarpur Village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</si>
</sst>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&quot;₹&quot;\ * #,##0.00_ ;_ &quot;₹&quot;\ * \-#,##0.00_ ;_ &quot;₹&quot;\ * &quot;-&quot;??_ ;_ @_ "/>
    <numFmt numFmtId="165" formatCode="mm/dd/yy;@"/>
    <numFmt numFmtId="166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5">
    <xf numFmtId="0" fontId="0" fillId="0" borderId="0" xfId="0"/>
    <xf numFmtId="43" fontId="0" fillId="2" borderId="0" xfId="1" applyFont="1" applyFill="1" applyBorder="1" applyAlignment="1">
      <alignment vertical="center"/>
    </xf>
    <xf numFmtId="43" fontId="7" fillId="2" borderId="0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horizontal="center"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4" xfId="1" applyFont="1" applyFill="1" applyBorder="1" applyAlignment="1">
      <alignment horizontal="center" vertical="center"/>
    </xf>
    <xf numFmtId="43" fontId="6" fillId="2" borderId="4" xfId="1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 wrapText="1"/>
    </xf>
    <xf numFmtId="43" fontId="3" fillId="2" borderId="9" xfId="1" applyFont="1" applyFill="1" applyBorder="1" applyAlignment="1">
      <alignment vertical="center"/>
    </xf>
    <xf numFmtId="43" fontId="3" fillId="2" borderId="10" xfId="1" applyFont="1" applyFill="1" applyBorder="1" applyAlignment="1">
      <alignment vertical="center"/>
    </xf>
    <xf numFmtId="43" fontId="3" fillId="3" borderId="4" xfId="1" applyFont="1" applyFill="1" applyBorder="1" applyAlignment="1">
      <alignment horizontal="center" vertical="center" wrapText="1"/>
    </xf>
    <xf numFmtId="43" fontId="3" fillId="3" borderId="4" xfId="1" quotePrefix="1" applyFont="1" applyFill="1" applyBorder="1" applyAlignment="1">
      <alignment horizontal="center" vertical="center"/>
    </xf>
    <xf numFmtId="43" fontId="3" fillId="3" borderId="4" xfId="1" applyFont="1" applyFill="1" applyBorder="1" applyAlignment="1">
      <alignment vertical="center"/>
    </xf>
    <xf numFmtId="43" fontId="3" fillId="3" borderId="5" xfId="1" applyFont="1" applyFill="1" applyBorder="1" applyAlignment="1">
      <alignment vertical="center"/>
    </xf>
    <xf numFmtId="43" fontId="0" fillId="3" borderId="5" xfId="1" applyFont="1" applyFill="1" applyBorder="1" applyAlignment="1">
      <alignment vertical="center"/>
    </xf>
    <xf numFmtId="43" fontId="3" fillId="2" borderId="1" xfId="1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vertical="center"/>
    </xf>
    <xf numFmtId="43" fontId="3" fillId="2" borderId="7" xfId="1" applyFont="1" applyFill="1" applyBorder="1" applyAlignment="1">
      <alignment vertical="center"/>
    </xf>
    <xf numFmtId="43" fontId="0" fillId="2" borderId="7" xfId="1" applyFont="1" applyFill="1" applyBorder="1" applyAlignment="1">
      <alignment vertical="center"/>
    </xf>
    <xf numFmtId="43" fontId="0" fillId="2" borderId="1" xfId="1" applyFont="1" applyFill="1" applyBorder="1" applyAlignment="1">
      <alignment vertical="center"/>
    </xf>
    <xf numFmtId="43" fontId="8" fillId="2" borderId="1" xfId="1" applyFont="1" applyFill="1" applyBorder="1" applyAlignment="1">
      <alignment horizontal="center" vertical="center" wrapText="1"/>
    </xf>
    <xf numFmtId="43" fontId="8" fillId="2" borderId="1" xfId="1" applyFont="1" applyFill="1" applyBorder="1" applyAlignment="1">
      <alignment horizontal="center" vertical="center"/>
    </xf>
    <xf numFmtId="43" fontId="8" fillId="2" borderId="1" xfId="1" applyFont="1" applyFill="1" applyBorder="1" applyAlignment="1">
      <alignment vertical="center"/>
    </xf>
    <xf numFmtId="43" fontId="8" fillId="2" borderId="7" xfId="1" applyFont="1" applyFill="1" applyBorder="1" applyAlignment="1">
      <alignment vertical="center"/>
    </xf>
    <xf numFmtId="43" fontId="3" fillId="2" borderId="1" xfId="1" quotePrefix="1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right" vertical="center"/>
    </xf>
    <xf numFmtId="43" fontId="3" fillId="2" borderId="12" xfId="1" applyFont="1" applyFill="1" applyBorder="1" applyAlignment="1">
      <alignment vertical="center"/>
    </xf>
    <xf numFmtId="43" fontId="3" fillId="2" borderId="4" xfId="1" applyFont="1" applyFill="1" applyBorder="1" applyAlignment="1">
      <alignment vertical="center"/>
    </xf>
    <xf numFmtId="43" fontId="5" fillId="2" borderId="4" xfId="1" applyFont="1" applyFill="1" applyBorder="1" applyAlignment="1">
      <alignment vertical="center"/>
    </xf>
    <xf numFmtId="43" fontId="5" fillId="2" borderId="5" xfId="1" applyFont="1" applyFill="1" applyBorder="1" applyAlignment="1">
      <alignment vertical="center"/>
    </xf>
    <xf numFmtId="43" fontId="0" fillId="2" borderId="9" xfId="1" applyFont="1" applyFill="1" applyBorder="1" applyAlignment="1">
      <alignment vertical="center"/>
    </xf>
    <xf numFmtId="43" fontId="0" fillId="2" borderId="10" xfId="1" applyFont="1" applyFill="1" applyBorder="1" applyAlignment="1">
      <alignment vertical="center"/>
    </xf>
    <xf numFmtId="14" fontId="0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0" xfId="1" applyNumberFormat="1" applyFont="1" applyFill="1" applyBorder="1" applyAlignment="1">
      <alignment vertical="center"/>
    </xf>
    <xf numFmtId="14" fontId="5" fillId="2" borderId="4" xfId="1" applyNumberFormat="1" applyFont="1" applyFill="1" applyBorder="1" applyAlignment="1">
      <alignment horizontal="center" vertical="center"/>
    </xf>
    <xf numFmtId="14" fontId="3" fillId="2" borderId="9" xfId="1" applyNumberFormat="1" applyFont="1" applyFill="1" applyBorder="1" applyAlignment="1">
      <alignment vertical="center"/>
    </xf>
    <xf numFmtId="14" fontId="3" fillId="3" borderId="4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14" fontId="0" fillId="2" borderId="1" xfId="1" applyNumberFormat="1" applyFont="1" applyFill="1" applyBorder="1" applyAlignment="1">
      <alignment vertical="center"/>
    </xf>
    <xf numFmtId="14" fontId="8" fillId="2" borderId="1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4" fontId="0" fillId="2" borderId="9" xfId="1" applyNumberFormat="1" applyFont="1" applyFill="1" applyBorder="1" applyAlignment="1">
      <alignment vertical="center"/>
    </xf>
    <xf numFmtId="0" fontId="0" fillId="2" borderId="0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5" fillId="2" borderId="13" xfId="1" applyNumberFormat="1" applyFont="1" applyFill="1" applyBorder="1" applyAlignment="1">
      <alignment horizontal="center" vertical="center" wrapText="1"/>
    </xf>
    <xf numFmtId="0" fontId="3" fillId="2" borderId="13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vertical="center"/>
    </xf>
    <xf numFmtId="43" fontId="5" fillId="2" borderId="15" xfId="1" applyFont="1" applyFill="1" applyBorder="1" applyAlignment="1">
      <alignment horizontal="center" vertical="center" wrapText="1"/>
    </xf>
    <xf numFmtId="43" fontId="3" fillId="2" borderId="11" xfId="1" applyFont="1" applyFill="1" applyBorder="1" applyAlignment="1">
      <alignment vertical="center"/>
    </xf>
    <xf numFmtId="0" fontId="0" fillId="2" borderId="3" xfId="1" applyNumberFormat="1" applyFont="1" applyFill="1" applyBorder="1" applyAlignment="1">
      <alignment vertical="center"/>
    </xf>
    <xf numFmtId="0" fontId="0" fillId="2" borderId="8" xfId="1" applyNumberFormat="1" applyFont="1" applyFill="1" applyBorder="1" applyAlignment="1">
      <alignment vertical="center"/>
    </xf>
    <xf numFmtId="0" fontId="0" fillId="3" borderId="3" xfId="1" applyNumberFormat="1" applyFont="1" applyFill="1" applyBorder="1" applyAlignment="1">
      <alignment vertical="center"/>
    </xf>
    <xf numFmtId="0" fontId="0" fillId="2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43" fontId="9" fillId="2" borderId="7" xfId="1" applyFont="1" applyFill="1" applyBorder="1"/>
    <xf numFmtId="43" fontId="9" fillId="2" borderId="7" xfId="1" applyFont="1" applyFill="1" applyBorder="1" applyAlignment="1">
      <alignment vertical="center" wrapText="1"/>
    </xf>
    <xf numFmtId="43" fontId="0" fillId="2" borderId="7" xfId="1" applyFont="1" applyFill="1" applyBorder="1"/>
    <xf numFmtId="0" fontId="10" fillId="3" borderId="2" xfId="1" applyNumberFormat="1" applyFont="1" applyFill="1" applyBorder="1" applyAlignment="1">
      <alignment vertical="center"/>
    </xf>
    <xf numFmtId="43" fontId="11" fillId="2" borderId="0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43" fontId="5" fillId="2" borderId="7" xfId="1" applyFont="1" applyFill="1" applyBorder="1" applyAlignment="1">
      <alignment vertical="center"/>
    </xf>
    <xf numFmtId="43" fontId="5" fillId="2" borderId="10" xfId="1" applyFont="1" applyFill="1" applyBorder="1" applyAlignment="1">
      <alignment vertical="center"/>
    </xf>
    <xf numFmtId="0" fontId="5" fillId="2" borderId="16" xfId="1" applyNumberFormat="1" applyFont="1" applyFill="1" applyBorder="1" applyAlignment="1">
      <alignment horizontal="center" vertical="center" wrapText="1"/>
    </xf>
    <xf numFmtId="0" fontId="5" fillId="2" borderId="17" xfId="1" applyNumberFormat="1" applyFont="1" applyFill="1" applyBorder="1" applyAlignment="1">
      <alignment horizontal="center" vertical="center" wrapText="1"/>
    </xf>
    <xf numFmtId="0" fontId="3" fillId="2" borderId="17" xfId="1" applyNumberFormat="1" applyFont="1" applyFill="1" applyBorder="1" applyAlignment="1">
      <alignment vertical="center"/>
    </xf>
    <xf numFmtId="43" fontId="5" fillId="2" borderId="3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vertical="center"/>
    </xf>
    <xf numFmtId="43" fontId="3" fillId="3" borderId="3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0" fillId="2" borderId="6" xfId="1" applyFont="1" applyFill="1" applyBorder="1" applyAlignment="1">
      <alignment vertical="center"/>
    </xf>
    <xf numFmtId="43" fontId="3" fillId="2" borderId="18" xfId="1" applyFont="1" applyFill="1" applyBorder="1" applyAlignment="1">
      <alignment vertical="center"/>
    </xf>
    <xf numFmtId="43" fontId="5" fillId="2" borderId="16" xfId="1" applyFont="1" applyFill="1" applyBorder="1" applyAlignment="1">
      <alignment vertical="center"/>
    </xf>
    <xf numFmtId="43" fontId="5" fillId="2" borderId="6" xfId="1" applyFont="1" applyFill="1" applyBorder="1" applyAlignment="1">
      <alignment vertical="center"/>
    </xf>
    <xf numFmtId="0" fontId="0" fillId="2" borderId="18" xfId="1" applyNumberFormat="1" applyFont="1" applyFill="1" applyBorder="1" applyAlignment="1">
      <alignment vertical="center"/>
    </xf>
    <xf numFmtId="43" fontId="0" fillId="2" borderId="19" xfId="1" applyFont="1" applyFill="1" applyBorder="1" applyAlignment="1">
      <alignment vertical="center"/>
    </xf>
    <xf numFmtId="14" fontId="0" fillId="2" borderId="19" xfId="1" applyNumberFormat="1" applyFont="1" applyFill="1" applyBorder="1" applyAlignment="1">
      <alignment vertical="center"/>
    </xf>
    <xf numFmtId="43" fontId="0" fillId="2" borderId="12" xfId="1" applyFont="1" applyFill="1" applyBorder="1" applyAlignment="1">
      <alignment vertical="center"/>
    </xf>
    <xf numFmtId="0" fontId="5" fillId="2" borderId="20" xfId="1" applyNumberFormat="1" applyFont="1" applyFill="1" applyBorder="1" applyAlignment="1">
      <alignment horizontal="center" vertical="center" wrapText="1"/>
    </xf>
    <xf numFmtId="43" fontId="0" fillId="2" borderId="18" xfId="1" applyFont="1" applyFill="1" applyBorder="1" applyAlignment="1">
      <alignment vertical="center"/>
    </xf>
    <xf numFmtId="0" fontId="0" fillId="3" borderId="6" xfId="1" applyNumberFormat="1" applyFont="1" applyFill="1" applyBorder="1" applyAlignment="1">
      <alignment vertical="center"/>
    </xf>
    <xf numFmtId="43" fontId="3" fillId="3" borderId="1" xfId="1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/>
    </xf>
    <xf numFmtId="43" fontId="3" fillId="3" borderId="1" xfId="1" quotePrefix="1" applyFont="1" applyFill="1" applyBorder="1" applyAlignment="1">
      <alignment horizontal="center" vertical="center"/>
    </xf>
    <xf numFmtId="43" fontId="3" fillId="3" borderId="1" xfId="1" applyFont="1" applyFill="1" applyBorder="1" applyAlignment="1">
      <alignment vertical="center"/>
    </xf>
    <xf numFmtId="43" fontId="3" fillId="3" borderId="7" xfId="1" applyFont="1" applyFill="1" applyBorder="1" applyAlignment="1">
      <alignment vertical="center"/>
    </xf>
    <xf numFmtId="0" fontId="10" fillId="3" borderId="13" xfId="1" applyNumberFormat="1" applyFont="1" applyFill="1" applyBorder="1" applyAlignment="1">
      <alignment vertical="center"/>
    </xf>
    <xf numFmtId="43" fontId="3" fillId="3" borderId="6" xfId="1" applyFont="1" applyFill="1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43" fontId="13" fillId="4" borderId="1" xfId="1" applyFont="1" applyFill="1" applyBorder="1" applyAlignment="1">
      <alignment vertical="center"/>
    </xf>
    <xf numFmtId="43" fontId="13" fillId="4" borderId="7" xfId="1" applyFont="1" applyFill="1" applyBorder="1" applyAlignment="1">
      <alignment vertical="center"/>
    </xf>
    <xf numFmtId="43" fontId="11" fillId="4" borderId="7" xfId="1" applyFont="1" applyFill="1" applyBorder="1" applyAlignment="1">
      <alignment vertical="center"/>
    </xf>
    <xf numFmtId="43" fontId="12" fillId="2" borderId="29" xfId="1" applyFont="1" applyFill="1" applyBorder="1" applyAlignment="1">
      <alignment vertical="center"/>
    </xf>
    <xf numFmtId="43" fontId="12" fillId="2" borderId="30" xfId="1" applyFont="1" applyFill="1" applyBorder="1" applyAlignment="1">
      <alignment vertical="center"/>
    </xf>
    <xf numFmtId="43" fontId="12" fillId="2" borderId="17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165" fontId="3" fillId="2" borderId="9" xfId="1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5" fontId="0" fillId="2" borderId="1" xfId="1" applyNumberFormat="1" applyFont="1" applyFill="1" applyBorder="1" applyAlignment="1">
      <alignment vertical="center"/>
    </xf>
    <xf numFmtId="165" fontId="0" fillId="2" borderId="19" xfId="1" applyNumberFormat="1" applyFont="1" applyFill="1" applyBorder="1" applyAlignment="1">
      <alignment vertical="center"/>
    </xf>
    <xf numFmtId="165" fontId="3" fillId="3" borderId="1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vertical="center"/>
    </xf>
    <xf numFmtId="165" fontId="3" fillId="2" borderId="4" xfId="1" applyNumberFormat="1" applyFont="1" applyFill="1" applyBorder="1" applyAlignment="1">
      <alignment vertical="center"/>
    </xf>
    <xf numFmtId="165" fontId="0" fillId="2" borderId="9" xfId="1" applyNumberFormat="1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32" xfId="0" applyFont="1" applyFill="1" applyBorder="1" applyAlignment="1">
      <alignment vertical="center"/>
    </xf>
    <xf numFmtId="0" fontId="7" fillId="2" borderId="32" xfId="0" applyFont="1" applyFill="1" applyBorder="1" applyAlignment="1">
      <alignment horizontal="center" vertical="center" wrapText="1"/>
    </xf>
    <xf numFmtId="14" fontId="7" fillId="2" borderId="32" xfId="0" applyNumberFormat="1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166" fontId="14" fillId="2" borderId="32" xfId="1" applyNumberFormat="1" applyFont="1" applyFill="1" applyBorder="1" applyAlignment="1">
      <alignment horizontal="center" vertical="center"/>
    </xf>
    <xf numFmtId="166" fontId="7" fillId="2" borderId="32" xfId="1" applyNumberFormat="1" applyFont="1" applyFill="1" applyBorder="1" applyAlignment="1">
      <alignment horizontal="center" vertical="center"/>
    </xf>
    <xf numFmtId="164" fontId="12" fillId="2" borderId="17" xfId="1" applyNumberFormat="1" applyFont="1" applyFill="1" applyBorder="1" applyAlignment="1">
      <alignment horizontal="right" vertical="center"/>
    </xf>
    <xf numFmtId="164" fontId="12" fillId="2" borderId="22" xfId="1" applyNumberFormat="1" applyFont="1" applyFill="1" applyBorder="1" applyAlignment="1">
      <alignment horizontal="right" vertical="center"/>
    </xf>
    <xf numFmtId="43" fontId="12" fillId="2" borderId="23" xfId="1" applyFont="1" applyFill="1" applyBorder="1" applyAlignment="1">
      <alignment horizontal="center" vertical="center"/>
    </xf>
    <xf numFmtId="43" fontId="12" fillId="2" borderId="24" xfId="1" applyFont="1" applyFill="1" applyBorder="1" applyAlignment="1">
      <alignment horizontal="center" vertical="center"/>
    </xf>
    <xf numFmtId="43" fontId="12" fillId="2" borderId="25" xfId="1" applyFont="1" applyFill="1" applyBorder="1" applyAlignment="1">
      <alignment horizontal="center" vertical="center"/>
    </xf>
    <xf numFmtId="43" fontId="12" fillId="2" borderId="26" xfId="1" applyFont="1" applyFill="1" applyBorder="1" applyAlignment="1">
      <alignment horizontal="center" vertical="center"/>
    </xf>
    <xf numFmtId="43" fontId="12" fillId="2" borderId="27" xfId="1" applyFont="1" applyFill="1" applyBorder="1" applyAlignment="1">
      <alignment horizontal="center" vertical="center"/>
    </xf>
    <xf numFmtId="43" fontId="12" fillId="2" borderId="28" xfId="1" applyFont="1" applyFill="1" applyBorder="1" applyAlignment="1">
      <alignment horizontal="center" vertical="center"/>
    </xf>
    <xf numFmtId="164" fontId="12" fillId="2" borderId="16" xfId="1" applyNumberFormat="1" applyFont="1" applyFill="1" applyBorder="1" applyAlignment="1">
      <alignment horizontal="center" vertical="center"/>
    </xf>
    <xf numFmtId="164" fontId="12" fillId="2" borderId="31" xfId="1" applyNumberFormat="1" applyFont="1" applyFill="1" applyBorder="1" applyAlignment="1">
      <alignment horizontal="center" vertical="center"/>
    </xf>
    <xf numFmtId="164" fontId="12" fillId="2" borderId="30" xfId="1" applyNumberFormat="1" applyFont="1" applyFill="1" applyBorder="1" applyAlignment="1">
      <alignment horizontal="center" vertical="center"/>
    </xf>
    <xf numFmtId="164" fontId="12" fillId="2" borderId="21" xfId="1" applyNumberFormat="1" applyFont="1" applyFill="1" applyBorder="1" applyAlignment="1">
      <alignment horizontal="center" vertical="center"/>
    </xf>
    <xf numFmtId="164" fontId="12" fillId="2" borderId="30" xfId="1" applyNumberFormat="1" applyFont="1" applyFill="1" applyBorder="1" applyAlignment="1">
      <alignment horizontal="right" vertical="center"/>
    </xf>
    <xf numFmtId="164" fontId="12" fillId="2" borderId="21" xfId="1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66FF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8CA7C-56F5-4D18-9133-7AD9975DACEC}">
  <dimension ref="A1:V69"/>
  <sheetViews>
    <sheetView tabSelected="1" zoomScale="85" zoomScaleNormal="85" workbookViewId="0">
      <pane ySplit="5" topLeftCell="A6" activePane="bottomLeft" state="frozen"/>
      <selection pane="bottomLeft" activeCell="A46" sqref="A46"/>
    </sheetView>
  </sheetViews>
  <sheetFormatPr defaultColWidth="9" defaultRowHeight="20.100000000000001" customHeight="1" x14ac:dyDescent="0.3"/>
  <cols>
    <col min="1" max="1" width="6.109375" style="48" bestFit="1" customWidth="1"/>
    <col min="2" max="2" width="34.33203125" style="1" bestFit="1" customWidth="1"/>
    <col min="3" max="3" width="13.109375" style="103" bestFit="1" customWidth="1"/>
    <col min="4" max="4" width="24.44140625" style="1" bestFit="1" customWidth="1"/>
    <col min="5" max="5" width="12.6640625" style="1" bestFit="1" customWidth="1"/>
    <col min="6" max="6" width="10.33203125" style="1" bestFit="1" customWidth="1"/>
    <col min="7" max="7" width="17" style="1" bestFit="1" customWidth="1"/>
    <col min="8" max="8" width="11.6640625" style="1" bestFit="1" customWidth="1"/>
    <col min="9" max="9" width="15.33203125" style="1" bestFit="1" customWidth="1"/>
    <col min="10" max="10" width="10.33203125" style="1" bestFit="1" customWidth="1"/>
    <col min="11" max="11" width="14.44140625" style="1" bestFit="1" customWidth="1"/>
    <col min="12" max="12" width="19.33203125" style="1" bestFit="1" customWidth="1"/>
    <col min="13" max="13" width="19.109375" style="1" customWidth="1"/>
    <col min="14" max="14" width="17.88671875" style="1" customWidth="1"/>
    <col min="15" max="15" width="15" style="1" bestFit="1" customWidth="1"/>
    <col min="16" max="16" width="17.109375" style="1" bestFit="1" customWidth="1"/>
    <col min="17" max="17" width="7.44140625" style="48" bestFit="1" customWidth="1"/>
    <col min="18" max="18" width="19.33203125" style="1" bestFit="1" customWidth="1"/>
    <col min="19" max="19" width="93.33203125" style="1" bestFit="1" customWidth="1"/>
    <col min="20" max="20" width="15.5546875" style="1" bestFit="1" customWidth="1"/>
    <col min="21" max="21" width="22" style="1" bestFit="1" customWidth="1"/>
    <col min="22" max="22" width="25.33203125" style="1" bestFit="1" customWidth="1"/>
    <col min="23" max="16384" width="9" style="1"/>
  </cols>
  <sheetData>
    <row r="1" spans="1:21" customFormat="1" ht="24.9" customHeight="1" x14ac:dyDescent="0.3">
      <c r="A1" s="113" t="s">
        <v>92</v>
      </c>
      <c r="B1" s="114" t="s">
        <v>20</v>
      </c>
    </row>
    <row r="2" spans="1:21" customFormat="1" ht="24.9" customHeight="1" x14ac:dyDescent="0.3">
      <c r="A2" s="113" t="s">
        <v>93</v>
      </c>
      <c r="B2" t="s">
        <v>94</v>
      </c>
    </row>
    <row r="3" spans="1:21" customFormat="1" ht="30.6" customHeight="1" x14ac:dyDescent="0.3">
      <c r="A3" s="113" t="s">
        <v>95</v>
      </c>
      <c r="B3" s="113" t="s">
        <v>96</v>
      </c>
    </row>
    <row r="4" spans="1:21" customFormat="1" ht="24.9" customHeight="1" thickBot="1" x14ac:dyDescent="0.35">
      <c r="A4" s="113" t="s">
        <v>97</v>
      </c>
      <c r="B4" s="113" t="s">
        <v>96</v>
      </c>
    </row>
    <row r="5" spans="1:21" ht="53.25" customHeight="1" x14ac:dyDescent="0.3">
      <c r="A5" s="115" t="s">
        <v>98</v>
      </c>
      <c r="B5" s="116" t="s">
        <v>99</v>
      </c>
      <c r="C5" s="117" t="s">
        <v>100</v>
      </c>
      <c r="D5" s="118" t="s">
        <v>101</v>
      </c>
      <c r="E5" s="116" t="s">
        <v>102</v>
      </c>
      <c r="F5" s="116" t="s">
        <v>103</v>
      </c>
      <c r="G5" s="118" t="s">
        <v>104</v>
      </c>
      <c r="H5" s="119" t="s">
        <v>105</v>
      </c>
      <c r="I5" s="120" t="s">
        <v>6</v>
      </c>
      <c r="J5" s="116" t="s">
        <v>106</v>
      </c>
      <c r="K5" s="116" t="s">
        <v>107</v>
      </c>
      <c r="L5" s="116" t="s">
        <v>108</v>
      </c>
      <c r="M5" s="116" t="s">
        <v>109</v>
      </c>
      <c r="N5" s="9" t="s">
        <v>18</v>
      </c>
      <c r="O5" s="116" t="s">
        <v>110</v>
      </c>
      <c r="P5" s="116" t="s">
        <v>111</v>
      </c>
      <c r="Q5" s="70"/>
      <c r="R5" s="116" t="s">
        <v>112</v>
      </c>
      <c r="S5" s="116" t="s">
        <v>10</v>
      </c>
    </row>
    <row r="6" spans="1:21" ht="20.100000000000001" customHeight="1" thickBot="1" x14ac:dyDescent="0.35">
      <c r="A6" s="56"/>
      <c r="B6" s="11"/>
      <c r="C6" s="104"/>
      <c r="D6" s="11"/>
      <c r="E6" s="11"/>
      <c r="F6" s="11"/>
      <c r="G6" s="11"/>
      <c r="H6" s="11">
        <v>0.18</v>
      </c>
      <c r="I6" s="11"/>
      <c r="J6" s="11">
        <v>0.02</v>
      </c>
      <c r="K6" s="11">
        <v>0.05</v>
      </c>
      <c r="L6" s="11">
        <v>0.1</v>
      </c>
      <c r="M6" s="11">
        <v>0.1</v>
      </c>
      <c r="N6" s="11">
        <v>0.18</v>
      </c>
      <c r="O6" s="11"/>
      <c r="P6" s="54"/>
      <c r="Q6" s="71"/>
      <c r="R6" s="74"/>
      <c r="S6" s="12"/>
    </row>
    <row r="7" spans="1:21" ht="20.100000000000001" customHeight="1" x14ac:dyDescent="0.3">
      <c r="A7" s="57"/>
      <c r="B7" s="13"/>
      <c r="C7" s="105"/>
      <c r="D7" s="14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65">
        <f>A8</f>
        <v>51915</v>
      </c>
      <c r="R7" s="75"/>
      <c r="S7" s="17"/>
    </row>
    <row r="8" spans="1:21" ht="14.4" x14ac:dyDescent="0.3">
      <c r="A8" s="58">
        <v>51915</v>
      </c>
      <c r="B8" s="18" t="s">
        <v>89</v>
      </c>
      <c r="C8" s="106">
        <v>44842</v>
      </c>
      <c r="D8" s="19">
        <v>30</v>
      </c>
      <c r="E8" s="20">
        <v>777005.67</v>
      </c>
      <c r="F8" s="20">
        <v>0</v>
      </c>
      <c r="G8" s="20">
        <f>E8-F8</f>
        <v>777005.67</v>
      </c>
      <c r="H8" s="20">
        <f>ROUND(G8*18%,)</f>
        <v>139861</v>
      </c>
      <c r="I8" s="20">
        <f t="shared" ref="I8" si="0">G8+H8</f>
        <v>916866.67</v>
      </c>
      <c r="J8" s="20">
        <f>G8*2%</f>
        <v>15540.113400000002</v>
      </c>
      <c r="K8" s="20">
        <f>ROUND(G8*$K$6,)</f>
        <v>38850</v>
      </c>
      <c r="L8" s="20">
        <f>ROUND(G8*$L$6,)</f>
        <v>77701</v>
      </c>
      <c r="M8" s="20">
        <f>ROUND(G8*$M$6,)</f>
        <v>77701</v>
      </c>
      <c r="N8" s="20">
        <v>294861</v>
      </c>
      <c r="O8" s="96">
        <f>H8</f>
        <v>139861</v>
      </c>
      <c r="P8" s="21">
        <f>I8-SUM(J8:O8)</f>
        <v>272352.55660000001</v>
      </c>
      <c r="Q8" s="50"/>
      <c r="R8" s="76">
        <v>294000</v>
      </c>
      <c r="S8" s="22" t="s">
        <v>26</v>
      </c>
      <c r="U8" s="1" t="s">
        <v>71</v>
      </c>
    </row>
    <row r="9" spans="1:21" ht="20.100000000000001" customHeight="1" x14ac:dyDescent="0.3">
      <c r="A9" s="58">
        <v>51915</v>
      </c>
      <c r="B9" s="18" t="s">
        <v>30</v>
      </c>
      <c r="C9" s="107">
        <v>44886</v>
      </c>
      <c r="D9" s="23">
        <v>30</v>
      </c>
      <c r="E9" s="23">
        <v>139861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98">
        <f>E9</f>
        <v>139861</v>
      </c>
      <c r="Q9" s="50"/>
      <c r="R9" s="76">
        <v>98000</v>
      </c>
      <c r="S9" s="22" t="s">
        <v>27</v>
      </c>
    </row>
    <row r="10" spans="1:21" ht="20.100000000000001" customHeight="1" x14ac:dyDescent="0.3">
      <c r="A10" s="58">
        <v>51915</v>
      </c>
      <c r="B10" s="23" t="s">
        <v>70</v>
      </c>
      <c r="C10" s="107">
        <v>44904</v>
      </c>
      <c r="D10" s="23"/>
      <c r="E10" s="23">
        <v>130000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>
        <f>E10</f>
        <v>130000</v>
      </c>
      <c r="Q10" s="50"/>
      <c r="R10" s="76">
        <v>196000</v>
      </c>
      <c r="S10" s="22" t="s">
        <v>28</v>
      </c>
    </row>
    <row r="11" spans="1:21" ht="20.100000000000001" customHeight="1" x14ac:dyDescent="0.3">
      <c r="A11" s="58">
        <v>51915</v>
      </c>
      <c r="B11" s="23"/>
      <c r="C11" s="107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2"/>
      <c r="Q11" s="50"/>
      <c r="R11" s="76">
        <v>130000</v>
      </c>
      <c r="S11" s="22" t="s">
        <v>63</v>
      </c>
    </row>
    <row r="12" spans="1:21" ht="20.100000000000001" customHeight="1" x14ac:dyDescent="0.3">
      <c r="A12" s="58">
        <v>51915</v>
      </c>
      <c r="B12" s="82"/>
      <c r="C12" s="108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4"/>
      <c r="Q12" s="85"/>
      <c r="R12" s="86"/>
      <c r="S12" s="84"/>
      <c r="T12" s="66">
        <f>SUM(P8:P12)-SUM(R8:R12)</f>
        <v>-175786.44339999999</v>
      </c>
    </row>
    <row r="13" spans="1:21" ht="20.100000000000001" customHeight="1" x14ac:dyDescent="0.3">
      <c r="A13" s="87"/>
      <c r="B13" s="88"/>
      <c r="C13" s="109"/>
      <c r="D13" s="90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2"/>
      <c r="Q13" s="93">
        <f>A14</f>
        <v>51916</v>
      </c>
      <c r="R13" s="94"/>
      <c r="S13" s="95"/>
    </row>
    <row r="14" spans="1:21" ht="27.75" customHeight="1" x14ac:dyDescent="0.3">
      <c r="A14" s="58">
        <v>51916</v>
      </c>
      <c r="B14" s="18" t="s">
        <v>90</v>
      </c>
      <c r="C14" s="106">
        <v>44842</v>
      </c>
      <c r="D14" s="19">
        <v>29</v>
      </c>
      <c r="E14" s="20">
        <v>777143</v>
      </c>
      <c r="F14" s="20">
        <v>0</v>
      </c>
      <c r="G14" s="20">
        <f>E14-F14</f>
        <v>777143</v>
      </c>
      <c r="H14" s="20">
        <f>ROUND(G14*18%,)</f>
        <v>139886</v>
      </c>
      <c r="I14" s="20">
        <f>G14+H14</f>
        <v>917029</v>
      </c>
      <c r="J14" s="20">
        <f>G14*2%</f>
        <v>15542.86</v>
      </c>
      <c r="K14" s="20">
        <f>ROUND(G14*$K$6,)</f>
        <v>38857</v>
      </c>
      <c r="L14" s="20">
        <f>ROUND(G14*$L$6,)</f>
        <v>77714</v>
      </c>
      <c r="M14" s="20">
        <f>ROUND(G14*$M$6,)</f>
        <v>77714</v>
      </c>
      <c r="N14" s="20">
        <v>264315</v>
      </c>
      <c r="O14" s="96">
        <f>H14</f>
        <v>139886</v>
      </c>
      <c r="P14" s="21">
        <f>I14-SUM(J14:O14)</f>
        <v>303000.14</v>
      </c>
      <c r="Q14" s="50"/>
      <c r="R14" s="76">
        <v>294000</v>
      </c>
      <c r="S14" s="22" t="s">
        <v>31</v>
      </c>
      <c r="U14" s="1" t="s">
        <v>71</v>
      </c>
    </row>
    <row r="15" spans="1:21" ht="14.4" x14ac:dyDescent="0.3">
      <c r="A15" s="58">
        <v>51916</v>
      </c>
      <c r="B15" s="18" t="s">
        <v>30</v>
      </c>
      <c r="C15" s="106">
        <v>44886</v>
      </c>
      <c r="D15" s="19">
        <v>29</v>
      </c>
      <c r="E15" s="20">
        <f>O14</f>
        <v>139886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97">
        <f>E15</f>
        <v>139886</v>
      </c>
      <c r="Q15" s="50"/>
      <c r="R15" s="76">
        <v>98000</v>
      </c>
      <c r="S15" s="22" t="s">
        <v>32</v>
      </c>
    </row>
    <row r="16" spans="1:21" ht="14.4" x14ac:dyDescent="0.2">
      <c r="A16" s="58">
        <v>51916</v>
      </c>
      <c r="B16" s="18" t="s">
        <v>70</v>
      </c>
      <c r="C16" s="106">
        <v>44914</v>
      </c>
      <c r="D16" s="19">
        <v>29</v>
      </c>
      <c r="E16" s="20">
        <v>130000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>
        <f>E16</f>
        <v>130000</v>
      </c>
      <c r="Q16" s="50"/>
      <c r="R16" s="76">
        <v>130000</v>
      </c>
      <c r="S16" s="62" t="s">
        <v>65</v>
      </c>
    </row>
    <row r="17" spans="1:21" ht="14.4" x14ac:dyDescent="0.2">
      <c r="A17" s="58">
        <v>51916</v>
      </c>
      <c r="B17" s="18" t="s">
        <v>113</v>
      </c>
      <c r="C17" s="106">
        <v>45206</v>
      </c>
      <c r="D17" s="19">
        <v>24</v>
      </c>
      <c r="E17" s="20">
        <v>319572</v>
      </c>
      <c r="F17" s="20">
        <v>95375</v>
      </c>
      <c r="G17" s="20">
        <f>E17-F17</f>
        <v>224197</v>
      </c>
      <c r="H17" s="20">
        <f>ROUND(G17*18%,)</f>
        <v>40355</v>
      </c>
      <c r="I17" s="20">
        <f>G17+H17</f>
        <v>264552</v>
      </c>
      <c r="J17" s="20">
        <f>G17*2%</f>
        <v>4483.9400000000005</v>
      </c>
      <c r="K17" s="20">
        <f>ROUND(G17*$K$6,)</f>
        <v>11210</v>
      </c>
      <c r="L17" s="20">
        <f>ROUND(G17*$L$6,)</f>
        <v>22420</v>
      </c>
      <c r="M17" s="20">
        <f>ROUND(G17*$M$6,)</f>
        <v>22420</v>
      </c>
      <c r="N17" s="20">
        <v>0</v>
      </c>
      <c r="O17" s="96">
        <f>H17</f>
        <v>40355</v>
      </c>
      <c r="P17" s="21">
        <f>I17-SUM(J17:O17)</f>
        <v>163663.06</v>
      </c>
      <c r="Q17" s="50"/>
      <c r="R17" s="76">
        <v>89743</v>
      </c>
      <c r="S17" s="62" t="s">
        <v>66</v>
      </c>
    </row>
    <row r="18" spans="1:21" ht="20.100000000000001" customHeight="1" x14ac:dyDescent="0.2">
      <c r="A18" s="58">
        <v>51916</v>
      </c>
      <c r="B18" s="18" t="s">
        <v>30</v>
      </c>
      <c r="C18" s="106">
        <v>45260</v>
      </c>
      <c r="D18" s="19">
        <v>24</v>
      </c>
      <c r="E18" s="20">
        <v>40355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97">
        <f>E18</f>
        <v>40355</v>
      </c>
      <c r="Q18" s="50"/>
      <c r="R18" s="76">
        <v>163661</v>
      </c>
      <c r="S18" s="62" t="s">
        <v>67</v>
      </c>
    </row>
    <row r="19" spans="1:21" ht="20.100000000000001" customHeight="1" x14ac:dyDescent="0.2">
      <c r="A19" s="58">
        <v>51916</v>
      </c>
      <c r="B19" s="18"/>
      <c r="C19" s="106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>
        <v>40355</v>
      </c>
      <c r="S19" s="62" t="s">
        <v>72</v>
      </c>
    </row>
    <row r="20" spans="1:21" ht="20.100000000000001" customHeight="1" x14ac:dyDescent="0.2">
      <c r="A20" s="58">
        <v>51916</v>
      </c>
      <c r="B20" s="18"/>
      <c r="C20" s="106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</row>
    <row r="21" spans="1:21" ht="20.100000000000001" customHeight="1" x14ac:dyDescent="0.2">
      <c r="A21" s="58">
        <v>51916</v>
      </c>
      <c r="B21" s="18"/>
      <c r="C21" s="106"/>
      <c r="D21" s="19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Q21" s="50"/>
      <c r="R21" s="76"/>
      <c r="S21" s="62"/>
      <c r="T21" s="66">
        <f>SUM(P14:P21)-SUM(R14:R21)</f>
        <v>-38854.800000000047</v>
      </c>
    </row>
    <row r="22" spans="1:21" ht="20.100000000000001" customHeight="1" x14ac:dyDescent="0.3">
      <c r="A22" s="87"/>
      <c r="B22" s="88"/>
      <c r="C22" s="109"/>
      <c r="D22" s="90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2"/>
      <c r="Q22" s="93">
        <f>A23</f>
        <v>51917</v>
      </c>
      <c r="R22" s="94"/>
      <c r="S22" s="95"/>
    </row>
    <row r="23" spans="1:21" ht="14.4" x14ac:dyDescent="0.3">
      <c r="A23" s="58">
        <v>51917</v>
      </c>
      <c r="B23" s="18" t="s">
        <v>91</v>
      </c>
      <c r="C23" s="106">
        <v>44842</v>
      </c>
      <c r="D23" s="19">
        <v>28</v>
      </c>
      <c r="E23" s="20">
        <v>1492424</v>
      </c>
      <c r="F23" s="20">
        <v>0</v>
      </c>
      <c r="G23" s="20">
        <f>E23-F23</f>
        <v>1492424</v>
      </c>
      <c r="H23" s="20">
        <f>ROUND(G23*18%,)</f>
        <v>268636</v>
      </c>
      <c r="I23" s="20">
        <f>G23+H23</f>
        <v>1761060</v>
      </c>
      <c r="J23" s="20">
        <f>ROUND(G23*$J$6,)</f>
        <v>29848</v>
      </c>
      <c r="K23" s="20">
        <f>ROUND(G23*$K$6,)</f>
        <v>74621</v>
      </c>
      <c r="L23" s="20">
        <f>ROUND(G23*$L$6,)</f>
        <v>149242</v>
      </c>
      <c r="M23" s="20">
        <f>ROUND(G23*$M$6,)</f>
        <v>149242</v>
      </c>
      <c r="N23" s="20">
        <v>549686</v>
      </c>
      <c r="O23" s="96">
        <f>H23</f>
        <v>268636</v>
      </c>
      <c r="P23" s="21">
        <f>I23-SUM(J23:O23)</f>
        <v>539785</v>
      </c>
      <c r="R23" s="76">
        <v>1078000</v>
      </c>
      <c r="S23" s="22" t="s">
        <v>34</v>
      </c>
      <c r="U23" s="1" t="s">
        <v>71</v>
      </c>
    </row>
    <row r="24" spans="1:21" ht="20.100000000000001" customHeight="1" x14ac:dyDescent="0.3">
      <c r="A24" s="58">
        <v>51917</v>
      </c>
      <c r="B24" s="18" t="s">
        <v>30</v>
      </c>
      <c r="C24" s="106">
        <v>44886</v>
      </c>
      <c r="D24" s="19">
        <v>28</v>
      </c>
      <c r="E24" s="20">
        <f>O23</f>
        <v>268636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97">
        <f>E24</f>
        <v>268636</v>
      </c>
      <c r="Q24" s="50"/>
      <c r="R24" s="76">
        <v>490000</v>
      </c>
      <c r="S24" s="22" t="s">
        <v>35</v>
      </c>
    </row>
    <row r="25" spans="1:21" ht="20.100000000000001" customHeight="1" x14ac:dyDescent="0.3">
      <c r="A25" s="58">
        <v>51917</v>
      </c>
      <c r="B25" s="18"/>
      <c r="C25" s="106"/>
      <c r="D25" s="19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1"/>
      <c r="Q25" s="50"/>
      <c r="R25" s="76"/>
      <c r="S25" s="22"/>
      <c r="T25" s="66">
        <f>SUM(P23:P25)-SUM(R23:R25)</f>
        <v>-759579</v>
      </c>
    </row>
    <row r="26" spans="1:21" ht="20.100000000000001" customHeight="1" x14ac:dyDescent="0.3">
      <c r="A26" s="87"/>
      <c r="B26" s="88"/>
      <c r="C26" s="109"/>
      <c r="D26" s="90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2"/>
      <c r="Q26" s="93">
        <f>A27</f>
        <v>52652</v>
      </c>
      <c r="R26" s="94"/>
      <c r="S26" s="95"/>
    </row>
    <row r="27" spans="1:21" ht="20.100000000000001" customHeight="1" x14ac:dyDescent="0.3">
      <c r="A27" s="58">
        <v>52652</v>
      </c>
      <c r="B27" s="20" t="s">
        <v>46</v>
      </c>
      <c r="C27" s="110">
        <v>44910</v>
      </c>
      <c r="D27" s="20">
        <v>36</v>
      </c>
      <c r="E27" s="20">
        <v>1049593</v>
      </c>
      <c r="F27" s="20">
        <v>0</v>
      </c>
      <c r="G27" s="20">
        <v>1049593</v>
      </c>
      <c r="H27" s="20">
        <v>188927</v>
      </c>
      <c r="I27" s="20">
        <v>1238520</v>
      </c>
      <c r="J27" s="20">
        <f>G27*2%</f>
        <v>20991.86</v>
      </c>
      <c r="K27" s="20">
        <v>52480</v>
      </c>
      <c r="L27" s="20">
        <v>104959</v>
      </c>
      <c r="M27" s="20">
        <v>104959</v>
      </c>
      <c r="N27" s="20">
        <v>303710</v>
      </c>
      <c r="O27" s="96">
        <f>H27</f>
        <v>188927</v>
      </c>
      <c r="P27" s="21">
        <f>ROUND(I27-SUM(J27:O27),0)</f>
        <v>462493</v>
      </c>
      <c r="Q27" s="50"/>
      <c r="R27" s="76">
        <v>462493</v>
      </c>
      <c r="S27" s="22" t="s">
        <v>48</v>
      </c>
      <c r="U27" s="1" t="s">
        <v>71</v>
      </c>
    </row>
    <row r="28" spans="1:21" ht="20.100000000000001" customHeight="1" x14ac:dyDescent="0.3">
      <c r="A28" s="58">
        <v>52652</v>
      </c>
      <c r="B28" s="20" t="s">
        <v>70</v>
      </c>
      <c r="C28" s="110">
        <v>44925</v>
      </c>
      <c r="D28" s="20">
        <v>36</v>
      </c>
      <c r="E28" s="20">
        <v>150000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>
        <f>E28</f>
        <v>150000</v>
      </c>
      <c r="Q28" s="50"/>
      <c r="R28" s="76">
        <v>150000</v>
      </c>
      <c r="S28" s="22" t="s">
        <v>49</v>
      </c>
    </row>
    <row r="29" spans="1:21" ht="20.100000000000001" customHeight="1" x14ac:dyDescent="0.3">
      <c r="A29" s="58">
        <v>52652</v>
      </c>
      <c r="B29" s="20" t="s">
        <v>47</v>
      </c>
      <c r="C29" s="110">
        <v>44944</v>
      </c>
      <c r="D29" s="20">
        <v>36</v>
      </c>
      <c r="E29" s="20">
        <v>188927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97">
        <f>E29</f>
        <v>188927</v>
      </c>
      <c r="Q29" s="50"/>
      <c r="R29" s="76">
        <v>188927</v>
      </c>
      <c r="S29" s="22" t="s">
        <v>50</v>
      </c>
    </row>
    <row r="30" spans="1:21" ht="20.100000000000001" customHeight="1" x14ac:dyDescent="0.3">
      <c r="A30" s="58">
        <v>52652</v>
      </c>
      <c r="B30" s="23"/>
      <c r="C30" s="107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2"/>
      <c r="Q30" s="50"/>
      <c r="R30" s="76">
        <v>49000</v>
      </c>
      <c r="S30" s="22" t="s">
        <v>51</v>
      </c>
    </row>
    <row r="31" spans="1:21" ht="20.100000000000001" customHeight="1" x14ac:dyDescent="0.3">
      <c r="A31" s="58">
        <v>52652</v>
      </c>
      <c r="B31" s="23"/>
      <c r="C31" s="107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2"/>
      <c r="Q31" s="50"/>
      <c r="R31" s="76"/>
      <c r="S31" s="22"/>
      <c r="T31" s="66">
        <f>SUM(P27:P31)-SUM(R27:R31)</f>
        <v>-49000</v>
      </c>
    </row>
    <row r="32" spans="1:21" ht="20.100000000000001" customHeight="1" x14ac:dyDescent="0.3">
      <c r="A32" s="58">
        <v>52652</v>
      </c>
      <c r="B32" s="23"/>
      <c r="C32" s="107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2"/>
      <c r="Q32" s="50"/>
      <c r="R32" s="76"/>
      <c r="S32" s="22"/>
      <c r="T32" s="66"/>
    </row>
    <row r="33" spans="1:22" ht="20.100000000000001" customHeight="1" x14ac:dyDescent="0.3">
      <c r="A33" s="58">
        <v>52652</v>
      </c>
      <c r="B33" s="23"/>
      <c r="C33" s="107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2"/>
      <c r="Q33" s="50"/>
      <c r="R33" s="76"/>
      <c r="S33" s="22"/>
      <c r="T33" s="66"/>
    </row>
    <row r="34" spans="1:22" ht="20.100000000000001" customHeight="1" x14ac:dyDescent="0.3">
      <c r="A34" s="87"/>
      <c r="B34" s="88"/>
      <c r="C34" s="109"/>
      <c r="D34" s="90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2"/>
      <c r="Q34" s="93">
        <f>A35</f>
        <v>54688</v>
      </c>
      <c r="R34" s="94"/>
      <c r="S34" s="95"/>
    </row>
    <row r="35" spans="1:22" ht="20.100000000000001" customHeight="1" x14ac:dyDescent="0.3">
      <c r="A35" s="58">
        <v>54688</v>
      </c>
      <c r="B35" s="18" t="s">
        <v>52</v>
      </c>
      <c r="C35" s="106">
        <v>44946</v>
      </c>
      <c r="D35" s="28">
        <v>1</v>
      </c>
      <c r="E35" s="20">
        <v>1017952</v>
      </c>
      <c r="F35" s="20">
        <v>0</v>
      </c>
      <c r="G35" s="20">
        <f>E35-F35</f>
        <v>1017952</v>
      </c>
      <c r="H35" s="20">
        <f>ROUND(G35*$H$6,0)</f>
        <v>183231</v>
      </c>
      <c r="I35" s="20">
        <f>ROUND(G35+H35,)</f>
        <v>1201183</v>
      </c>
      <c r="J35" s="20">
        <f>G35*2%</f>
        <v>20359.04</v>
      </c>
      <c r="K35" s="20">
        <f>G35*$K$6</f>
        <v>50897.600000000006</v>
      </c>
      <c r="L35" s="20">
        <f>G35*$L$6</f>
        <v>101795.20000000001</v>
      </c>
      <c r="M35" s="20">
        <f>G35*$M$6</f>
        <v>101795.20000000001</v>
      </c>
      <c r="N35" s="20">
        <v>163961</v>
      </c>
      <c r="O35" s="96">
        <f>H35</f>
        <v>183231</v>
      </c>
      <c r="P35" s="21">
        <f>ROUND(I35-SUM(J35:O35),0)</f>
        <v>579144</v>
      </c>
      <c r="Q35" s="50"/>
      <c r="R35" s="76">
        <v>579144</v>
      </c>
      <c r="S35" s="22" t="s">
        <v>53</v>
      </c>
      <c r="U35" s="1" t="s">
        <v>71</v>
      </c>
    </row>
    <row r="36" spans="1:22" ht="20.100000000000001" customHeight="1" x14ac:dyDescent="0.3">
      <c r="A36" s="58">
        <v>54688</v>
      </c>
      <c r="B36" s="18" t="s">
        <v>30</v>
      </c>
      <c r="C36" s="106">
        <v>45013</v>
      </c>
      <c r="D36" s="19">
        <v>1</v>
      </c>
      <c r="E36" s="20">
        <v>183231</v>
      </c>
      <c r="F36" s="20"/>
      <c r="G36" s="20">
        <f>E36-F36</f>
        <v>183231</v>
      </c>
      <c r="H36" s="20">
        <v>0</v>
      </c>
      <c r="I36" s="20">
        <f>G36+H36</f>
        <v>183231</v>
      </c>
      <c r="J36" s="20">
        <v>0</v>
      </c>
      <c r="K36" s="20">
        <v>0</v>
      </c>
      <c r="L36" s="20">
        <v>0</v>
      </c>
      <c r="M36" s="20">
        <v>0</v>
      </c>
      <c r="N36" s="20">
        <f>H36</f>
        <v>0</v>
      </c>
      <c r="O36" s="20"/>
      <c r="P36" s="97">
        <f>ROUND(I36-SUM(J36:O36),0)</f>
        <v>183231</v>
      </c>
      <c r="Q36" s="50"/>
      <c r="R36" s="76">
        <v>98000</v>
      </c>
      <c r="S36" s="22" t="s">
        <v>54</v>
      </c>
    </row>
    <row r="37" spans="1:22" ht="20.100000000000001" customHeight="1" x14ac:dyDescent="0.3">
      <c r="A37" s="58">
        <v>54688</v>
      </c>
      <c r="B37" s="20"/>
      <c r="C37" s="11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/>
      <c r="Q37" s="50"/>
      <c r="R37" s="76">
        <v>183331</v>
      </c>
      <c r="S37" s="22" t="s">
        <v>55</v>
      </c>
    </row>
    <row r="38" spans="1:22" ht="20.100000000000001" customHeight="1" x14ac:dyDescent="0.3">
      <c r="A38" s="58">
        <v>54688</v>
      </c>
      <c r="B38" s="20"/>
      <c r="C38" s="11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/>
      <c r="Q38" s="50"/>
      <c r="R38" s="76"/>
      <c r="S38" s="22"/>
    </row>
    <row r="39" spans="1:22" ht="20.100000000000001" customHeight="1" x14ac:dyDescent="0.3">
      <c r="A39" s="58">
        <v>54688</v>
      </c>
      <c r="B39" s="20"/>
      <c r="C39" s="11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1"/>
      <c r="Q39" s="50"/>
      <c r="R39" s="76"/>
      <c r="S39" s="22"/>
    </row>
    <row r="40" spans="1:22" ht="20.100000000000001" customHeight="1" x14ac:dyDescent="0.3">
      <c r="A40" s="58">
        <v>54688</v>
      </c>
      <c r="B40" s="20"/>
      <c r="C40" s="11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1"/>
      <c r="Q40" s="50"/>
      <c r="R40" s="76"/>
      <c r="S40" s="22"/>
      <c r="T40" s="66">
        <f>SUM(P35:P39)-SUM(R35:R39)</f>
        <v>-98100</v>
      </c>
    </row>
    <row r="41" spans="1:22" ht="20.100000000000001" customHeight="1" x14ac:dyDescent="0.3">
      <c r="A41" s="87"/>
      <c r="B41" s="88"/>
      <c r="C41" s="109"/>
      <c r="D41" s="90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2"/>
      <c r="Q41" s="93">
        <f>A42</f>
        <v>55385</v>
      </c>
      <c r="R41" s="94"/>
      <c r="S41" s="95"/>
    </row>
    <row r="42" spans="1:22" ht="20.100000000000001" customHeight="1" x14ac:dyDescent="0.3">
      <c r="A42" s="58">
        <v>55385</v>
      </c>
      <c r="B42" s="18" t="s">
        <v>21</v>
      </c>
      <c r="C42" s="106">
        <v>45002</v>
      </c>
      <c r="D42" s="28">
        <v>42</v>
      </c>
      <c r="E42" s="20">
        <v>1989598</v>
      </c>
      <c r="F42" s="20">
        <v>0</v>
      </c>
      <c r="G42" s="20">
        <f>ROUND(E42-F42,)</f>
        <v>1989598</v>
      </c>
      <c r="H42" s="20">
        <f>ROUND(G42*$H$6,0)</f>
        <v>358128</v>
      </c>
      <c r="I42" s="20">
        <f>G42+H42</f>
        <v>2347726</v>
      </c>
      <c r="J42" s="20">
        <f>G42*2%</f>
        <v>39791.96</v>
      </c>
      <c r="K42" s="20">
        <f>G42*5%</f>
        <v>99479.900000000009</v>
      </c>
      <c r="L42" s="20">
        <f>G42*10%</f>
        <v>198959.80000000002</v>
      </c>
      <c r="M42" s="20">
        <f>G42*10%</f>
        <v>198959.80000000002</v>
      </c>
      <c r="N42" s="20">
        <v>79152</v>
      </c>
      <c r="O42" s="96">
        <f>H42</f>
        <v>358128</v>
      </c>
      <c r="P42" s="21">
        <f>ROUND(I42-SUM(J42:O42),0)</f>
        <v>1373255</v>
      </c>
      <c r="Q42" s="50"/>
      <c r="R42" s="76">
        <v>294000</v>
      </c>
      <c r="S42" s="22" t="s">
        <v>22</v>
      </c>
      <c r="U42" s="1" t="s">
        <v>71</v>
      </c>
    </row>
    <row r="43" spans="1:22" ht="20.100000000000001" customHeight="1" x14ac:dyDescent="0.3">
      <c r="A43" s="58">
        <v>55385</v>
      </c>
      <c r="B43" s="18" t="s">
        <v>30</v>
      </c>
      <c r="C43" s="106">
        <v>45055</v>
      </c>
      <c r="D43" s="28">
        <v>42</v>
      </c>
      <c r="E43" s="20">
        <v>358128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97">
        <v>358128</v>
      </c>
      <c r="Q43" s="50"/>
      <c r="R43" s="76">
        <v>588000</v>
      </c>
      <c r="S43" s="22" t="s">
        <v>23</v>
      </c>
    </row>
    <row r="44" spans="1:22" ht="20.100000000000001" customHeight="1" x14ac:dyDescent="0.3">
      <c r="A44" s="58">
        <v>55385</v>
      </c>
      <c r="B44" s="20"/>
      <c r="C44" s="11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1"/>
      <c r="Q44" s="50"/>
      <c r="R44" s="76">
        <v>392000</v>
      </c>
      <c r="S44" s="22" t="s">
        <v>24</v>
      </c>
    </row>
    <row r="45" spans="1:22" ht="20.100000000000001" customHeight="1" x14ac:dyDescent="0.3">
      <c r="A45" s="58">
        <v>55385</v>
      </c>
      <c r="B45" s="19"/>
      <c r="C45" s="106"/>
      <c r="D45" s="19"/>
      <c r="E45" s="29"/>
      <c r="F45" s="29"/>
      <c r="G45" s="29"/>
      <c r="H45" s="20"/>
      <c r="I45" s="20"/>
      <c r="J45" s="20"/>
      <c r="K45" s="20"/>
      <c r="L45" s="20"/>
      <c r="M45" s="20"/>
      <c r="N45" s="20"/>
      <c r="O45" s="20"/>
      <c r="P45" s="21"/>
      <c r="Q45" s="50"/>
      <c r="R45" s="76">
        <v>178406</v>
      </c>
      <c r="S45" s="21" t="s">
        <v>56</v>
      </c>
    </row>
    <row r="46" spans="1:22" ht="20.100000000000001" customHeight="1" x14ac:dyDescent="0.3">
      <c r="A46" s="58">
        <v>55385</v>
      </c>
      <c r="B46" s="20"/>
      <c r="C46" s="11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1"/>
      <c r="Q46" s="51"/>
      <c r="R46" s="76">
        <v>358128</v>
      </c>
      <c r="S46" s="21" t="s">
        <v>57</v>
      </c>
    </row>
    <row r="47" spans="1:22" ht="20.100000000000001" customHeight="1" x14ac:dyDescent="0.3">
      <c r="A47" s="58">
        <v>55385</v>
      </c>
      <c r="B47" s="20"/>
      <c r="C47" s="11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1"/>
      <c r="Q47" s="51"/>
      <c r="R47" s="76"/>
      <c r="S47" s="21"/>
      <c r="T47" s="66">
        <f>SUM(P42:P47)-SUM(R42:R47)</f>
        <v>-79151</v>
      </c>
      <c r="V47" s="1" t="s">
        <v>79</v>
      </c>
    </row>
    <row r="48" spans="1:22" ht="20.100000000000001" customHeight="1" x14ac:dyDescent="0.3">
      <c r="A48" s="87"/>
      <c r="B48" s="88"/>
      <c r="C48" s="109"/>
      <c r="D48" s="90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2"/>
      <c r="Q48" s="93">
        <f>A49</f>
        <v>59266</v>
      </c>
      <c r="R48" s="94"/>
      <c r="S48" s="95"/>
    </row>
    <row r="49" spans="1:21" ht="20.100000000000001" customHeight="1" x14ac:dyDescent="0.3">
      <c r="A49" s="58">
        <v>59266</v>
      </c>
      <c r="B49" s="20" t="s">
        <v>58</v>
      </c>
      <c r="C49" s="106">
        <v>45180</v>
      </c>
      <c r="D49" s="28">
        <v>17</v>
      </c>
      <c r="E49" s="20">
        <v>1643542</v>
      </c>
      <c r="F49" s="20">
        <v>0</v>
      </c>
      <c r="G49" s="20">
        <f>ROUND(E49-F49,)</f>
        <v>1643542</v>
      </c>
      <c r="H49" s="20">
        <f>ROUND(G49*$H$6,0)</f>
        <v>295838</v>
      </c>
      <c r="I49" s="20">
        <f>G49+H49</f>
        <v>1939380</v>
      </c>
      <c r="J49" s="20">
        <f>G49*2%</f>
        <v>32870.840000000004</v>
      </c>
      <c r="K49" s="20">
        <f>ROUND(G49*$K$6,)</f>
        <v>82177</v>
      </c>
      <c r="L49" s="20">
        <f>ROUND(G49*$L$6,)</f>
        <v>164354</v>
      </c>
      <c r="M49" s="20">
        <f>ROUND(G49*$M$6,)</f>
        <v>164354</v>
      </c>
      <c r="N49" s="20">
        <v>236780</v>
      </c>
      <c r="O49" s="96">
        <f>H49</f>
        <v>295838</v>
      </c>
      <c r="P49" s="21">
        <f>ROUND(I49-SUM(J49:O49),0)</f>
        <v>963006</v>
      </c>
      <c r="Q49" s="51"/>
      <c r="R49" s="76">
        <v>963006</v>
      </c>
      <c r="S49" s="21" t="s">
        <v>62</v>
      </c>
      <c r="U49" s="1" t="s">
        <v>78</v>
      </c>
    </row>
    <row r="50" spans="1:21" ht="20.100000000000001" customHeight="1" x14ac:dyDescent="0.3">
      <c r="A50" s="58">
        <v>59266</v>
      </c>
      <c r="B50" s="18" t="s">
        <v>30</v>
      </c>
      <c r="C50" s="110"/>
      <c r="D50" s="20"/>
      <c r="E50" s="20">
        <v>295838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97">
        <v>295838</v>
      </c>
      <c r="Q50" s="51"/>
      <c r="R50" s="76">
        <v>295838</v>
      </c>
      <c r="S50" s="63" t="s">
        <v>69</v>
      </c>
    </row>
    <row r="51" spans="1:21" ht="20.100000000000001" customHeight="1" x14ac:dyDescent="0.3">
      <c r="A51" s="58">
        <v>59266</v>
      </c>
      <c r="B51" s="20"/>
      <c r="C51" s="11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1"/>
      <c r="Q51" s="51"/>
      <c r="R51" s="76"/>
      <c r="S51" s="64"/>
    </row>
    <row r="52" spans="1:21" ht="20.100000000000001" customHeight="1" x14ac:dyDescent="0.3">
      <c r="A52" s="58">
        <v>59266</v>
      </c>
      <c r="B52" s="20"/>
      <c r="C52" s="11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/>
      <c r="Q52" s="51"/>
      <c r="R52" s="76"/>
      <c r="S52" s="21"/>
    </row>
    <row r="53" spans="1:21" ht="20.100000000000001" customHeight="1" x14ac:dyDescent="0.3">
      <c r="A53" s="58">
        <v>59266</v>
      </c>
      <c r="B53" s="20"/>
      <c r="C53" s="11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/>
      <c r="Q53" s="51"/>
      <c r="R53" s="76"/>
      <c r="S53" s="21"/>
    </row>
    <row r="54" spans="1:21" ht="20.100000000000001" customHeight="1" x14ac:dyDescent="0.3">
      <c r="A54" s="58">
        <v>59266</v>
      </c>
      <c r="B54" s="20"/>
      <c r="C54" s="11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1"/>
      <c r="Q54" s="51"/>
      <c r="R54" s="76"/>
      <c r="S54" s="21"/>
    </row>
    <row r="55" spans="1:21" ht="20.100000000000001" customHeight="1" thickBot="1" x14ac:dyDescent="0.35">
      <c r="A55" s="58">
        <v>59266</v>
      </c>
      <c r="B55" s="11"/>
      <c r="C55" s="104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2"/>
      <c r="Q55" s="72"/>
      <c r="R55" s="78"/>
      <c r="S55" s="30"/>
      <c r="T55" s="66">
        <f>SUM(P49:P54)-SUM(R49:R54)</f>
        <v>0</v>
      </c>
    </row>
    <row r="56" spans="1:21" ht="20.100000000000001" customHeight="1" x14ac:dyDescent="0.3">
      <c r="A56" s="61"/>
      <c r="B56" s="31"/>
      <c r="C56" s="111"/>
      <c r="D56" s="31"/>
      <c r="E56" s="31"/>
      <c r="F56" s="31"/>
      <c r="G56" s="31"/>
      <c r="H56" s="31"/>
      <c r="I56" s="31"/>
      <c r="J56" s="31"/>
      <c r="K56" s="32">
        <f t="shared" ref="K56:O56" si="1">SUM(K8:K55)</f>
        <v>448572.5</v>
      </c>
      <c r="L56" s="32">
        <f t="shared" si="1"/>
        <v>897145</v>
      </c>
      <c r="M56" s="32">
        <f t="shared" si="1"/>
        <v>897145</v>
      </c>
      <c r="N56" s="32">
        <f t="shared" si="1"/>
        <v>1892465</v>
      </c>
      <c r="O56" s="32">
        <f t="shared" si="1"/>
        <v>1614862</v>
      </c>
      <c r="P56" s="33">
        <f>SUM(P8:P55)</f>
        <v>6681560.7566</v>
      </c>
      <c r="Q56" s="67"/>
      <c r="R56" s="79">
        <f>SUM(R8:R55)</f>
        <v>7882032</v>
      </c>
      <c r="S56" s="33" t="s">
        <v>80</v>
      </c>
      <c r="T56" s="79">
        <f>SUM(T8:T55)</f>
        <v>-1200471.2434</v>
      </c>
    </row>
    <row r="57" spans="1:21" ht="20.100000000000001" customHeight="1" x14ac:dyDescent="0.3">
      <c r="A57" s="59"/>
      <c r="B57" s="20"/>
      <c r="C57" s="110"/>
      <c r="D57" s="20"/>
      <c r="E57" s="20"/>
      <c r="F57" s="20"/>
      <c r="G57" s="20"/>
      <c r="H57" s="20"/>
      <c r="I57" s="20"/>
      <c r="J57" s="20"/>
      <c r="K57" s="102"/>
      <c r="L57" s="102"/>
      <c r="M57" s="102"/>
      <c r="N57" s="102"/>
      <c r="O57" s="102"/>
      <c r="P57" s="21"/>
      <c r="Q57" s="51"/>
      <c r="R57" s="76"/>
      <c r="S57" s="68"/>
    </row>
    <row r="58" spans="1:21" ht="20.100000000000001" customHeight="1" x14ac:dyDescent="0.3">
      <c r="A58" s="59"/>
      <c r="B58" s="20"/>
      <c r="C58" s="11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1"/>
      <c r="Q58" s="51"/>
      <c r="R58" s="80">
        <f>P56-R56</f>
        <v>-1200471.2434</v>
      </c>
      <c r="S58" s="68" t="s">
        <v>81</v>
      </c>
    </row>
    <row r="59" spans="1:21" ht="20.100000000000001" customHeight="1" thickBot="1" x14ac:dyDescent="0.35">
      <c r="A59" s="56"/>
      <c r="B59" s="34"/>
      <c r="C59" s="112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5"/>
      <c r="Q59" s="52"/>
      <c r="R59" s="74"/>
      <c r="S59" s="69"/>
    </row>
    <row r="63" spans="1:21" ht="20.100000000000001" customHeight="1" thickBot="1" x14ac:dyDescent="0.35"/>
    <row r="64" spans="1:21" ht="20.100000000000001" customHeight="1" thickBot="1" x14ac:dyDescent="0.35">
      <c r="M64" s="123" t="s">
        <v>82</v>
      </c>
      <c r="N64" s="124"/>
      <c r="O64" s="125"/>
    </row>
    <row r="65" spans="13:15" ht="20.100000000000001" customHeight="1" thickBot="1" x14ac:dyDescent="0.35">
      <c r="M65" s="126" t="s">
        <v>87</v>
      </c>
      <c r="N65" s="127"/>
      <c r="O65" s="128"/>
    </row>
    <row r="66" spans="13:15" ht="20.100000000000001" customHeight="1" x14ac:dyDescent="0.3">
      <c r="M66" s="99" t="s">
        <v>83</v>
      </c>
      <c r="N66" s="129">
        <f>K56+L56+M56</f>
        <v>2242862.5</v>
      </c>
      <c r="O66" s="130"/>
    </row>
    <row r="67" spans="13:15" ht="20.100000000000001" customHeight="1" x14ac:dyDescent="0.3">
      <c r="M67" s="100" t="s">
        <v>84</v>
      </c>
      <c r="N67" s="131">
        <f>N56</f>
        <v>1892465</v>
      </c>
      <c r="O67" s="132"/>
    </row>
    <row r="68" spans="13:15" ht="20.100000000000001" customHeight="1" x14ac:dyDescent="0.3">
      <c r="M68" s="100" t="s">
        <v>85</v>
      </c>
      <c r="N68" s="133" t="s">
        <v>88</v>
      </c>
      <c r="O68" s="134"/>
    </row>
    <row r="69" spans="13:15" ht="20.100000000000001" customHeight="1" thickBot="1" x14ac:dyDescent="0.35">
      <c r="M69" s="101" t="s">
        <v>86</v>
      </c>
      <c r="N69" s="121">
        <f>R58</f>
        <v>-1200471.2434</v>
      </c>
      <c r="O69" s="122"/>
    </row>
  </sheetData>
  <mergeCells count="6">
    <mergeCell ref="N69:O69"/>
    <mergeCell ref="M64:O64"/>
    <mergeCell ref="M65:O65"/>
    <mergeCell ref="N66:O66"/>
    <mergeCell ref="N67:O67"/>
    <mergeCell ref="N68:O68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6"/>
  <sheetViews>
    <sheetView topLeftCell="H1" zoomScale="85" zoomScaleNormal="85" workbookViewId="0">
      <pane ySplit="4" topLeftCell="A61" activePane="bottomLeft" state="frozen"/>
      <selection pane="bottomLeft" activeCell="M81" sqref="M81:O86"/>
    </sheetView>
  </sheetViews>
  <sheetFormatPr defaultColWidth="9" defaultRowHeight="20.100000000000001" customHeight="1" x14ac:dyDescent="0.3"/>
  <cols>
    <col min="1" max="1" width="6.109375" style="48" bestFit="1" customWidth="1"/>
    <col min="2" max="2" width="34.33203125" style="1" bestFit="1" customWidth="1"/>
    <col min="3" max="3" width="13.109375" style="36" bestFit="1" customWidth="1"/>
    <col min="4" max="4" width="24.44140625" style="1" bestFit="1" customWidth="1"/>
    <col min="5" max="5" width="12.6640625" style="1" bestFit="1" customWidth="1"/>
    <col min="6" max="6" width="10.33203125" style="1" bestFit="1" customWidth="1"/>
    <col min="7" max="7" width="17" style="1" bestFit="1" customWidth="1"/>
    <col min="8" max="8" width="11.6640625" style="1" bestFit="1" customWidth="1"/>
    <col min="9" max="9" width="15.33203125" style="1" bestFit="1" customWidth="1"/>
    <col min="10" max="10" width="10.33203125" style="1" bestFit="1" customWidth="1"/>
    <col min="11" max="11" width="14.44140625" style="1" bestFit="1" customWidth="1"/>
    <col min="12" max="12" width="19.33203125" style="1" bestFit="1" customWidth="1"/>
    <col min="13" max="13" width="19.109375" style="1" customWidth="1"/>
    <col min="14" max="14" width="17.88671875" style="1" customWidth="1"/>
    <col min="15" max="15" width="15" style="1" bestFit="1" customWidth="1"/>
    <col min="16" max="16" width="17.109375" style="1" bestFit="1" customWidth="1"/>
    <col min="17" max="17" width="7.44140625" style="48" bestFit="1" customWidth="1"/>
    <col min="18" max="18" width="19.33203125" style="1" bestFit="1" customWidth="1"/>
    <col min="19" max="19" width="93.33203125" style="1" bestFit="1" customWidth="1"/>
    <col min="20" max="20" width="12.88671875" style="1" bestFit="1" customWidth="1"/>
    <col min="21" max="21" width="22" style="1" bestFit="1" customWidth="1"/>
    <col min="22" max="22" width="25.33203125" style="1" bestFit="1" customWidth="1"/>
    <col min="23" max="16384" width="9" style="1"/>
  </cols>
  <sheetData>
    <row r="1" spans="1:21" ht="20.100000000000001" customHeight="1" x14ac:dyDescent="0.3">
      <c r="B1" s="2" t="s">
        <v>19</v>
      </c>
    </row>
    <row r="2" spans="1:21" ht="20.100000000000001" customHeight="1" x14ac:dyDescent="0.3">
      <c r="B2" s="3" t="s">
        <v>0</v>
      </c>
      <c r="C2" s="37"/>
      <c r="D2" s="3" t="s">
        <v>20</v>
      </c>
      <c r="G2" s="4"/>
      <c r="I2" s="4" t="s">
        <v>15</v>
      </c>
      <c r="J2" s="5"/>
      <c r="K2" s="5"/>
      <c r="L2" s="5"/>
      <c r="M2" s="5"/>
      <c r="N2" s="5"/>
      <c r="O2" s="5"/>
      <c r="P2" s="5"/>
      <c r="Q2" s="49"/>
    </row>
    <row r="3" spans="1:21" ht="20.100000000000001" customHeight="1" thickBot="1" x14ac:dyDescent="0.35">
      <c r="B3" s="5"/>
      <c r="C3" s="38"/>
      <c r="D3" s="5"/>
      <c r="E3" s="5"/>
      <c r="F3" s="5"/>
      <c r="G3" s="5"/>
      <c r="H3" s="5"/>
      <c r="I3" s="5"/>
      <c r="J3" s="5"/>
      <c r="K3" s="5"/>
      <c r="L3" s="5"/>
      <c r="M3" s="5"/>
      <c r="R3" s="6"/>
      <c r="S3" s="6"/>
    </row>
    <row r="4" spans="1:21" ht="53.25" customHeight="1" x14ac:dyDescent="0.3">
      <c r="A4" s="55"/>
      <c r="B4" s="7" t="s">
        <v>1</v>
      </c>
      <c r="C4" s="39" t="s">
        <v>2</v>
      </c>
      <c r="D4" s="7" t="s">
        <v>3</v>
      </c>
      <c r="E4" s="7" t="s">
        <v>4</v>
      </c>
      <c r="F4" s="7" t="s">
        <v>13</v>
      </c>
      <c r="G4" s="7" t="s">
        <v>14</v>
      </c>
      <c r="H4" s="8" t="s">
        <v>5</v>
      </c>
      <c r="I4" s="7" t="s">
        <v>6</v>
      </c>
      <c r="J4" s="9" t="s">
        <v>12</v>
      </c>
      <c r="K4" s="9" t="s">
        <v>11</v>
      </c>
      <c r="L4" s="9" t="s">
        <v>16</v>
      </c>
      <c r="M4" s="9" t="s">
        <v>17</v>
      </c>
      <c r="N4" s="9" t="s">
        <v>18</v>
      </c>
      <c r="O4" s="9" t="s">
        <v>7</v>
      </c>
      <c r="P4" s="53" t="s">
        <v>8</v>
      </c>
      <c r="Q4" s="70"/>
      <c r="R4" s="73" t="s">
        <v>9</v>
      </c>
      <c r="S4" s="10" t="s">
        <v>10</v>
      </c>
    </row>
    <row r="5" spans="1:21" ht="20.100000000000001" customHeight="1" thickBot="1" x14ac:dyDescent="0.35">
      <c r="A5" s="56"/>
      <c r="B5" s="11"/>
      <c r="C5" s="40"/>
      <c r="D5" s="11"/>
      <c r="E5" s="11"/>
      <c r="F5" s="11"/>
      <c r="G5" s="11"/>
      <c r="H5" s="11">
        <v>0.18</v>
      </c>
      <c r="I5" s="11"/>
      <c r="J5" s="11">
        <v>0.02</v>
      </c>
      <c r="K5" s="11">
        <v>0.05</v>
      </c>
      <c r="L5" s="11">
        <v>0.1</v>
      </c>
      <c r="M5" s="11">
        <v>0.1</v>
      </c>
      <c r="N5" s="11">
        <v>0.18</v>
      </c>
      <c r="O5" s="11"/>
      <c r="P5" s="54"/>
      <c r="Q5" s="71"/>
      <c r="R5" s="74"/>
      <c r="S5" s="12"/>
    </row>
    <row r="6" spans="1:21" ht="20.100000000000001" customHeight="1" x14ac:dyDescent="0.3">
      <c r="A6" s="57"/>
      <c r="B6" s="13"/>
      <c r="C6" s="41"/>
      <c r="D6" s="14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6"/>
      <c r="Q6" s="65">
        <f>A7</f>
        <v>51915</v>
      </c>
      <c r="R6" s="75"/>
      <c r="S6" s="17"/>
    </row>
    <row r="7" spans="1:21" ht="14.4" x14ac:dyDescent="0.3">
      <c r="A7" s="58">
        <v>51915</v>
      </c>
      <c r="B7" s="18" t="s">
        <v>25</v>
      </c>
      <c r="C7" s="42">
        <v>44842</v>
      </c>
      <c r="D7" s="19">
        <v>30</v>
      </c>
      <c r="E7" s="20">
        <v>777005.67</v>
      </c>
      <c r="F7" s="20">
        <v>0</v>
      </c>
      <c r="G7" s="20">
        <f>E7-F7</f>
        <v>777005.67</v>
      </c>
      <c r="H7" s="20">
        <f>ROUND(G7*18%,)</f>
        <v>139861</v>
      </c>
      <c r="I7" s="20">
        <f t="shared" ref="I7" si="0">G7+H7</f>
        <v>916866.67</v>
      </c>
      <c r="J7" s="20">
        <f>G7*2%</f>
        <v>15540.113400000002</v>
      </c>
      <c r="K7" s="20">
        <f>ROUND(G7*$K$5,)</f>
        <v>38850</v>
      </c>
      <c r="L7" s="20">
        <f>ROUND(G7*$L$5,)</f>
        <v>77701</v>
      </c>
      <c r="M7" s="20">
        <f>ROUND(G7*$M$5,)</f>
        <v>77701</v>
      </c>
      <c r="N7" s="20">
        <v>294861</v>
      </c>
      <c r="O7" s="96">
        <f>H7</f>
        <v>139861</v>
      </c>
      <c r="P7" s="21">
        <f>I7-SUM(J7:O7)</f>
        <v>272352.55660000001</v>
      </c>
      <c r="Q7" s="50"/>
      <c r="R7" s="76">
        <v>294000</v>
      </c>
      <c r="S7" s="22" t="s">
        <v>26</v>
      </c>
      <c r="U7" s="1" t="s">
        <v>71</v>
      </c>
    </row>
    <row r="8" spans="1:21" ht="20.100000000000001" customHeight="1" x14ac:dyDescent="0.3">
      <c r="A8" s="58"/>
      <c r="B8" s="23" t="s">
        <v>64</v>
      </c>
      <c r="C8" s="43">
        <v>44886</v>
      </c>
      <c r="D8" s="23">
        <v>30</v>
      </c>
      <c r="E8" s="23">
        <v>139861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98">
        <f>E8</f>
        <v>139861</v>
      </c>
      <c r="Q8" s="50"/>
      <c r="R8" s="76">
        <v>98000</v>
      </c>
      <c r="S8" s="22" t="s">
        <v>27</v>
      </c>
    </row>
    <row r="9" spans="1:21" ht="20.100000000000001" customHeight="1" x14ac:dyDescent="0.3">
      <c r="A9" s="58"/>
      <c r="B9" s="23" t="s">
        <v>70</v>
      </c>
      <c r="C9" s="43">
        <v>44904</v>
      </c>
      <c r="D9" s="23"/>
      <c r="E9" s="23">
        <v>130000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2">
        <f>E9</f>
        <v>130000</v>
      </c>
      <c r="Q9" s="50"/>
      <c r="R9" s="76">
        <v>196000</v>
      </c>
      <c r="S9" s="22" t="s">
        <v>28</v>
      </c>
    </row>
    <row r="10" spans="1:21" ht="20.100000000000001" customHeight="1" x14ac:dyDescent="0.3">
      <c r="A10" s="58"/>
      <c r="B10" s="23"/>
      <c r="C10" s="4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/>
      <c r="Q10" s="50"/>
      <c r="R10" s="76">
        <v>130000</v>
      </c>
      <c r="S10" s="22" t="s">
        <v>63</v>
      </c>
    </row>
    <row r="11" spans="1:21" ht="20.100000000000001" customHeight="1" x14ac:dyDescent="0.3">
      <c r="A11" s="81"/>
      <c r="B11" s="82"/>
      <c r="C11" s="83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4"/>
      <c r="Q11" s="85"/>
      <c r="R11" s="86"/>
      <c r="S11" s="84"/>
      <c r="T11" s="66">
        <f>SUM(P7:P11)-SUM(R7:R11)</f>
        <v>-175786.44339999999</v>
      </c>
    </row>
    <row r="12" spans="1:21" ht="20.100000000000001" customHeight="1" x14ac:dyDescent="0.3">
      <c r="A12" s="87"/>
      <c r="B12" s="88"/>
      <c r="C12" s="89"/>
      <c r="D12" s="90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Q12" s="93">
        <f>A13</f>
        <v>51916</v>
      </c>
      <c r="R12" s="94"/>
      <c r="S12" s="95"/>
    </row>
    <row r="13" spans="1:21" ht="27.75" customHeight="1" x14ac:dyDescent="0.3">
      <c r="A13" s="58">
        <v>51916</v>
      </c>
      <c r="B13" s="18" t="s">
        <v>29</v>
      </c>
      <c r="C13" s="42">
        <v>44842</v>
      </c>
      <c r="D13" s="19">
        <v>29</v>
      </c>
      <c r="E13" s="20">
        <v>777143</v>
      </c>
      <c r="F13" s="20">
        <v>0</v>
      </c>
      <c r="G13" s="20">
        <f>E13-F13</f>
        <v>777143</v>
      </c>
      <c r="H13" s="20">
        <f>ROUND(G13*18%,)</f>
        <v>139886</v>
      </c>
      <c r="I13" s="20">
        <f>G13+H13</f>
        <v>917029</v>
      </c>
      <c r="J13" s="20">
        <f>G13*2%</f>
        <v>15542.86</v>
      </c>
      <c r="K13" s="20">
        <f>ROUND(G13*$K$5,)</f>
        <v>38857</v>
      </c>
      <c r="L13" s="20">
        <f>ROUND(G13*$L$5,)</f>
        <v>77714</v>
      </c>
      <c r="M13" s="20">
        <f>ROUND(G13*$M$5,)</f>
        <v>77714</v>
      </c>
      <c r="N13" s="20">
        <v>264315</v>
      </c>
      <c r="O13" s="96">
        <f>H13</f>
        <v>139886</v>
      </c>
      <c r="P13" s="21">
        <f>I13-SUM(J13:O13)</f>
        <v>303000.14</v>
      </c>
      <c r="Q13" s="50"/>
      <c r="R13" s="76">
        <v>294000</v>
      </c>
      <c r="S13" s="22" t="s">
        <v>31</v>
      </c>
      <c r="U13" s="1" t="s">
        <v>71</v>
      </c>
    </row>
    <row r="14" spans="1:21" ht="14.4" x14ac:dyDescent="0.3">
      <c r="A14" s="58"/>
      <c r="B14" s="18" t="s">
        <v>30</v>
      </c>
      <c r="C14" s="42">
        <v>44886</v>
      </c>
      <c r="D14" s="19">
        <v>29</v>
      </c>
      <c r="E14" s="20">
        <f>O13</f>
        <v>139886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97">
        <f>E14</f>
        <v>139886</v>
      </c>
      <c r="Q14" s="50"/>
      <c r="R14" s="76">
        <v>98000</v>
      </c>
      <c r="S14" s="22" t="s">
        <v>32</v>
      </c>
    </row>
    <row r="15" spans="1:21" ht="14.4" x14ac:dyDescent="0.2">
      <c r="A15" s="58"/>
      <c r="B15" s="18" t="s">
        <v>70</v>
      </c>
      <c r="C15" s="42">
        <v>44914</v>
      </c>
      <c r="D15" s="19">
        <v>29</v>
      </c>
      <c r="E15" s="20">
        <v>130000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>
        <f>E15</f>
        <v>130000</v>
      </c>
      <c r="Q15" s="50"/>
      <c r="R15" s="76">
        <v>130000</v>
      </c>
      <c r="S15" s="62" t="s">
        <v>65</v>
      </c>
    </row>
    <row r="16" spans="1:21" ht="14.4" x14ac:dyDescent="0.2">
      <c r="A16" s="58"/>
      <c r="B16" s="18" t="s">
        <v>73</v>
      </c>
      <c r="C16" s="42">
        <v>45206</v>
      </c>
      <c r="D16" s="19">
        <v>24</v>
      </c>
      <c r="E16" s="20">
        <v>319572</v>
      </c>
      <c r="F16" s="20">
        <v>95375</v>
      </c>
      <c r="G16" s="20">
        <f>E16-F16</f>
        <v>224197</v>
      </c>
      <c r="H16" s="20">
        <f>ROUND(G16*18%,)</f>
        <v>40355</v>
      </c>
      <c r="I16" s="20">
        <f>G16+H16</f>
        <v>264552</v>
      </c>
      <c r="J16" s="20">
        <f>G16*2%</f>
        <v>4483.9400000000005</v>
      </c>
      <c r="K16" s="20">
        <f>ROUND(G16*$K$5,)</f>
        <v>11210</v>
      </c>
      <c r="L16" s="20">
        <f>ROUND(G16*$L$5,)</f>
        <v>22420</v>
      </c>
      <c r="M16" s="20">
        <f>ROUND(G16*$M$5,)</f>
        <v>22420</v>
      </c>
      <c r="N16" s="20">
        <v>0</v>
      </c>
      <c r="O16" s="96">
        <f>H16</f>
        <v>40355</v>
      </c>
      <c r="P16" s="21">
        <f>I16-SUM(J16:O16)</f>
        <v>163663.06</v>
      </c>
      <c r="Q16" s="50"/>
      <c r="R16" s="76">
        <v>89743</v>
      </c>
      <c r="S16" s="62" t="s">
        <v>66</v>
      </c>
    </row>
    <row r="17" spans="1:21" ht="20.100000000000001" customHeight="1" x14ac:dyDescent="0.2">
      <c r="A17" s="58"/>
      <c r="B17" s="18" t="s">
        <v>30</v>
      </c>
      <c r="C17" s="42">
        <v>45260</v>
      </c>
      <c r="D17" s="19">
        <v>24</v>
      </c>
      <c r="E17" s="20">
        <v>40355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97">
        <f>E17</f>
        <v>40355</v>
      </c>
      <c r="Q17" s="50"/>
      <c r="R17" s="76">
        <v>163661</v>
      </c>
      <c r="S17" s="62" t="s">
        <v>67</v>
      </c>
    </row>
    <row r="18" spans="1:21" ht="20.100000000000001" customHeight="1" x14ac:dyDescent="0.2">
      <c r="A18" s="58"/>
      <c r="B18" s="18"/>
      <c r="C18" s="42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Q18" s="50"/>
      <c r="R18" s="76">
        <v>40355</v>
      </c>
      <c r="S18" s="62" t="s">
        <v>72</v>
      </c>
    </row>
    <row r="19" spans="1:21" ht="20.100000000000001" customHeight="1" x14ac:dyDescent="0.2">
      <c r="A19" s="58"/>
      <c r="B19" s="18"/>
      <c r="C19" s="42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/>
      <c r="S19" s="62"/>
    </row>
    <row r="20" spans="1:21" ht="20.100000000000001" customHeight="1" x14ac:dyDescent="0.2">
      <c r="A20" s="58"/>
      <c r="B20" s="18"/>
      <c r="C20" s="42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  <c r="T20" s="66">
        <f>SUM(P13:P20)-SUM(R13:R20)</f>
        <v>-38854.800000000047</v>
      </c>
    </row>
    <row r="21" spans="1:21" ht="20.100000000000001" customHeight="1" x14ac:dyDescent="0.3">
      <c r="A21" s="87"/>
      <c r="B21" s="88"/>
      <c r="C21" s="89"/>
      <c r="D21" s="90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2"/>
      <c r="Q21" s="93">
        <f>A22</f>
        <v>51917</v>
      </c>
      <c r="R21" s="94"/>
      <c r="S21" s="95"/>
    </row>
    <row r="22" spans="1:21" ht="14.4" x14ac:dyDescent="0.3">
      <c r="A22" s="58">
        <v>51917</v>
      </c>
      <c r="B22" s="18" t="s">
        <v>33</v>
      </c>
      <c r="C22" s="42">
        <v>44842</v>
      </c>
      <c r="D22" s="19">
        <v>28</v>
      </c>
      <c r="E22" s="20">
        <v>1492424</v>
      </c>
      <c r="F22" s="20">
        <v>0</v>
      </c>
      <c r="G22" s="20">
        <f>E22-F22</f>
        <v>1492424</v>
      </c>
      <c r="H22" s="20">
        <f>ROUND(G22*18%,)</f>
        <v>268636</v>
      </c>
      <c r="I22" s="20">
        <f>G22+H22</f>
        <v>1761060</v>
      </c>
      <c r="J22" s="20">
        <f>ROUND(G22*$J$5,)</f>
        <v>29848</v>
      </c>
      <c r="K22" s="20">
        <f>ROUND(G22*$K$5,)</f>
        <v>74621</v>
      </c>
      <c r="L22" s="20">
        <f>ROUND(G22*$L$5,)</f>
        <v>149242</v>
      </c>
      <c r="M22" s="20">
        <f>ROUND(G22*$M$5,)</f>
        <v>149242</v>
      </c>
      <c r="N22" s="20">
        <v>549686</v>
      </c>
      <c r="O22" s="96">
        <f>H22</f>
        <v>268636</v>
      </c>
      <c r="P22" s="21">
        <f>I22-SUM(J22:O22)</f>
        <v>539785</v>
      </c>
      <c r="R22" s="76">
        <v>1078000</v>
      </c>
      <c r="S22" s="22" t="s">
        <v>34</v>
      </c>
      <c r="U22" s="1" t="s">
        <v>71</v>
      </c>
    </row>
    <row r="23" spans="1:21" ht="20.100000000000001" customHeight="1" x14ac:dyDescent="0.3">
      <c r="A23" s="58"/>
      <c r="B23" s="18" t="s">
        <v>30</v>
      </c>
      <c r="C23" s="42">
        <v>44886</v>
      </c>
      <c r="D23" s="19">
        <v>28</v>
      </c>
      <c r="E23" s="20">
        <f>O22</f>
        <v>268636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97">
        <f>E23</f>
        <v>268636</v>
      </c>
      <c r="Q23" s="50"/>
      <c r="R23" s="76">
        <v>490000</v>
      </c>
      <c r="S23" s="22" t="s">
        <v>35</v>
      </c>
    </row>
    <row r="24" spans="1:21" ht="20.100000000000001" customHeight="1" x14ac:dyDescent="0.3">
      <c r="A24" s="58"/>
      <c r="B24" s="18"/>
      <c r="C24" s="42"/>
      <c r="D24" s="19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Q24" s="50"/>
      <c r="R24" s="76"/>
      <c r="S24" s="22"/>
      <c r="T24" s="66">
        <f>SUM(P22:P24)-SUM(R22:R24)</f>
        <v>-759579</v>
      </c>
    </row>
    <row r="25" spans="1:21" ht="20.100000000000001" customHeight="1" x14ac:dyDescent="0.3">
      <c r="A25" s="87"/>
      <c r="B25" s="88"/>
      <c r="C25" s="89"/>
      <c r="D25" s="90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2"/>
      <c r="Q25" s="93">
        <f>A26</f>
        <v>51918</v>
      </c>
      <c r="R25" s="94"/>
      <c r="S25" s="95"/>
    </row>
    <row r="26" spans="1:21" ht="20.100000000000001" customHeight="1" x14ac:dyDescent="0.3">
      <c r="A26" s="58">
        <v>51918</v>
      </c>
      <c r="B26" s="24" t="s">
        <v>76</v>
      </c>
      <c r="C26" s="44">
        <v>44785</v>
      </c>
      <c r="D26" s="25">
        <v>14</v>
      </c>
      <c r="E26" s="26">
        <f>563.35*1450</f>
        <v>816857.5</v>
      </c>
      <c r="F26" s="26">
        <v>0</v>
      </c>
      <c r="G26" s="26">
        <f t="shared" ref="G26:G33" si="1">E26-F26</f>
        <v>816857.5</v>
      </c>
      <c r="H26" s="26">
        <f t="shared" ref="H26:H33" si="2">ROUND(G26*5%,0)</f>
        <v>40843</v>
      </c>
      <c r="I26" s="26">
        <f t="shared" ref="I26:I33" si="3">G26+H26</f>
        <v>857700.5</v>
      </c>
      <c r="J26" s="26">
        <f>G26*0.1%</f>
        <v>816.85750000000007</v>
      </c>
      <c r="K26" s="26"/>
      <c r="L26" s="26"/>
      <c r="M26" s="26"/>
      <c r="N26" s="26"/>
      <c r="O26" s="26"/>
      <c r="P26" s="27">
        <f>I26-J26</f>
        <v>856883.64249999996</v>
      </c>
      <c r="R26" s="76">
        <v>1580157.5</v>
      </c>
      <c r="S26" s="22" t="s">
        <v>37</v>
      </c>
    </row>
    <row r="27" spans="1:21" ht="20.100000000000001" customHeight="1" x14ac:dyDescent="0.3">
      <c r="A27" s="58"/>
      <c r="B27" s="24" t="s">
        <v>36</v>
      </c>
      <c r="C27" s="44">
        <v>44793</v>
      </c>
      <c r="D27" s="25">
        <v>20</v>
      </c>
      <c r="E27" s="26">
        <f>474.52*1450</f>
        <v>688054</v>
      </c>
      <c r="F27" s="26">
        <v>0</v>
      </c>
      <c r="G27" s="26">
        <f t="shared" si="1"/>
        <v>688054</v>
      </c>
      <c r="H27" s="26">
        <f t="shared" si="2"/>
        <v>34403</v>
      </c>
      <c r="I27" s="26">
        <f t="shared" si="3"/>
        <v>722457</v>
      </c>
      <c r="J27" s="26">
        <f t="shared" ref="J27:J39" si="4">G27*0.1%</f>
        <v>688.05399999999997</v>
      </c>
      <c r="K27" s="26"/>
      <c r="L27" s="26"/>
      <c r="M27" s="26"/>
      <c r="N27" s="26"/>
      <c r="O27" s="26"/>
      <c r="P27" s="27">
        <f t="shared" ref="P27:P39" si="5">I27-J27</f>
        <v>721768.946</v>
      </c>
      <c r="Q27" s="50"/>
      <c r="R27" s="76">
        <v>1414677</v>
      </c>
      <c r="S27" s="22" t="s">
        <v>38</v>
      </c>
    </row>
    <row r="28" spans="1:21" ht="20.100000000000001" customHeight="1" x14ac:dyDescent="0.3">
      <c r="A28" s="58"/>
      <c r="B28" s="24" t="s">
        <v>36</v>
      </c>
      <c r="C28" s="44">
        <v>44818</v>
      </c>
      <c r="D28" s="25">
        <v>24</v>
      </c>
      <c r="E28" s="26">
        <f>929.18*1450</f>
        <v>1347311</v>
      </c>
      <c r="F28" s="26">
        <v>0</v>
      </c>
      <c r="G28" s="26">
        <f t="shared" si="1"/>
        <v>1347311</v>
      </c>
      <c r="H28" s="26">
        <f t="shared" si="2"/>
        <v>67366</v>
      </c>
      <c r="I28" s="26">
        <f t="shared" si="3"/>
        <v>1414677</v>
      </c>
      <c r="J28" s="26">
        <f t="shared" si="4"/>
        <v>1347.3109999999999</v>
      </c>
      <c r="K28" s="26"/>
      <c r="L28" s="26"/>
      <c r="M28" s="26"/>
      <c r="N28" s="26"/>
      <c r="O28" s="26"/>
      <c r="P28" s="27">
        <f t="shared" si="5"/>
        <v>1413329.689</v>
      </c>
      <c r="Q28" s="50"/>
      <c r="R28" s="76">
        <v>509352.5</v>
      </c>
      <c r="S28" s="22" t="s">
        <v>39</v>
      </c>
    </row>
    <row r="29" spans="1:21" ht="20.100000000000001" customHeight="1" x14ac:dyDescent="0.3">
      <c r="A29" s="58"/>
      <c r="B29" s="24" t="s">
        <v>36</v>
      </c>
      <c r="C29" s="44">
        <v>44840</v>
      </c>
      <c r="D29" s="25">
        <v>27</v>
      </c>
      <c r="E29" s="26">
        <f>334.55*1450</f>
        <v>485097.5</v>
      </c>
      <c r="F29" s="26">
        <v>0</v>
      </c>
      <c r="G29" s="26">
        <f t="shared" si="1"/>
        <v>485097.5</v>
      </c>
      <c r="H29" s="26">
        <f t="shared" si="2"/>
        <v>24255</v>
      </c>
      <c r="I29" s="26">
        <f t="shared" si="3"/>
        <v>509352.5</v>
      </c>
      <c r="J29" s="26">
        <f t="shared" si="4"/>
        <v>485.09750000000003</v>
      </c>
      <c r="K29" s="26"/>
      <c r="L29" s="26"/>
      <c r="M29" s="26"/>
      <c r="N29" s="26"/>
      <c r="O29" s="26"/>
      <c r="P29" s="27">
        <f t="shared" si="5"/>
        <v>508867.40250000003</v>
      </c>
      <c r="Q29" s="50"/>
      <c r="R29" s="76">
        <v>1178537</v>
      </c>
      <c r="S29" s="22" t="s">
        <v>40</v>
      </c>
    </row>
    <row r="30" spans="1:21" ht="20.100000000000001" customHeight="1" x14ac:dyDescent="0.3">
      <c r="A30" s="58"/>
      <c r="B30" s="24" t="s">
        <v>36</v>
      </c>
      <c r="C30" s="44">
        <v>44882</v>
      </c>
      <c r="D30" s="25">
        <v>35</v>
      </c>
      <c r="E30" s="26">
        <f>774.08*1450</f>
        <v>1122416</v>
      </c>
      <c r="F30" s="26">
        <v>0</v>
      </c>
      <c r="G30" s="26">
        <f t="shared" si="1"/>
        <v>1122416</v>
      </c>
      <c r="H30" s="26">
        <f t="shared" si="2"/>
        <v>56121</v>
      </c>
      <c r="I30" s="26">
        <f t="shared" si="3"/>
        <v>1178537</v>
      </c>
      <c r="J30" s="26">
        <f t="shared" si="4"/>
        <v>1122.4159999999999</v>
      </c>
      <c r="K30" s="26"/>
      <c r="L30" s="26"/>
      <c r="M30" s="26"/>
      <c r="N30" s="26"/>
      <c r="O30" s="26"/>
      <c r="P30" s="27">
        <f t="shared" si="5"/>
        <v>1177414.584</v>
      </c>
      <c r="Q30" s="50"/>
      <c r="R30" s="76">
        <v>1220727</v>
      </c>
      <c r="S30" s="22" t="s">
        <v>41</v>
      </c>
    </row>
    <row r="31" spans="1:21" ht="20.100000000000001" customHeight="1" x14ac:dyDescent="0.3">
      <c r="A31" s="58"/>
      <c r="B31" s="24" t="s">
        <v>36</v>
      </c>
      <c r="C31" s="44">
        <v>44930</v>
      </c>
      <c r="D31" s="25">
        <v>37</v>
      </c>
      <c r="E31" s="26">
        <f>802.2*1450</f>
        <v>1163190</v>
      </c>
      <c r="F31" s="26">
        <v>0</v>
      </c>
      <c r="G31" s="26">
        <f t="shared" si="1"/>
        <v>1163190</v>
      </c>
      <c r="H31" s="26">
        <f t="shared" si="2"/>
        <v>58160</v>
      </c>
      <c r="I31" s="26">
        <f t="shared" si="3"/>
        <v>1221350</v>
      </c>
      <c r="J31" s="26">
        <f t="shared" si="4"/>
        <v>1163.19</v>
      </c>
      <c r="K31" s="26"/>
      <c r="L31" s="26"/>
      <c r="M31" s="26"/>
      <c r="N31" s="26"/>
      <c r="O31" s="26"/>
      <c r="P31" s="27">
        <f t="shared" si="5"/>
        <v>1220186.81</v>
      </c>
      <c r="Q31" s="50"/>
      <c r="R31" s="76">
        <v>1126961</v>
      </c>
      <c r="S31" s="22" t="s">
        <v>42</v>
      </c>
    </row>
    <row r="32" spans="1:21" ht="20.100000000000001" customHeight="1" x14ac:dyDescent="0.3">
      <c r="A32" s="58"/>
      <c r="B32" s="24" t="s">
        <v>36</v>
      </c>
      <c r="C32" s="44">
        <v>44984</v>
      </c>
      <c r="D32" s="25">
        <v>40</v>
      </c>
      <c r="E32" s="26">
        <v>1074319.5</v>
      </c>
      <c r="F32" s="26"/>
      <c r="G32" s="26">
        <f t="shared" si="1"/>
        <v>1074319.5</v>
      </c>
      <c r="H32" s="26">
        <f t="shared" si="2"/>
        <v>53716</v>
      </c>
      <c r="I32" s="26">
        <f t="shared" si="3"/>
        <v>1128035.5</v>
      </c>
      <c r="J32" s="26">
        <f t="shared" si="4"/>
        <v>1074.3195000000001</v>
      </c>
      <c r="K32" s="26"/>
      <c r="L32" s="26"/>
      <c r="M32" s="26"/>
      <c r="N32" s="26"/>
      <c r="O32" s="26"/>
      <c r="P32" s="27">
        <f t="shared" si="5"/>
        <v>1126961.1805</v>
      </c>
      <c r="Q32" s="50"/>
      <c r="R32" s="76">
        <v>771938</v>
      </c>
      <c r="S32" s="22" t="s">
        <v>43</v>
      </c>
    </row>
    <row r="33" spans="1:21" ht="20.100000000000001" customHeight="1" x14ac:dyDescent="0.3">
      <c r="A33" s="58"/>
      <c r="B33" s="24" t="s">
        <v>36</v>
      </c>
      <c r="C33" s="44">
        <v>45020</v>
      </c>
      <c r="D33" s="25">
        <v>1</v>
      </c>
      <c r="E33" s="26">
        <v>735179</v>
      </c>
      <c r="F33" s="26"/>
      <c r="G33" s="26">
        <f t="shared" si="1"/>
        <v>735179</v>
      </c>
      <c r="H33" s="26">
        <f t="shared" si="2"/>
        <v>36759</v>
      </c>
      <c r="I33" s="26">
        <f t="shared" si="3"/>
        <v>771938</v>
      </c>
      <c r="J33" s="26">
        <f t="shared" si="4"/>
        <v>735.17899999999997</v>
      </c>
      <c r="K33" s="26"/>
      <c r="L33" s="26"/>
      <c r="M33" s="26"/>
      <c r="N33" s="26"/>
      <c r="O33" s="26"/>
      <c r="P33" s="27">
        <f t="shared" si="5"/>
        <v>771202.821</v>
      </c>
      <c r="Q33" s="50"/>
      <c r="R33" s="76">
        <v>1376490</v>
      </c>
      <c r="S33" s="22" t="s">
        <v>44</v>
      </c>
    </row>
    <row r="34" spans="1:21" ht="20.100000000000001" customHeight="1" x14ac:dyDescent="0.3">
      <c r="A34" s="58"/>
      <c r="B34" s="24" t="s">
        <v>36</v>
      </c>
      <c r="C34" s="44">
        <v>45026</v>
      </c>
      <c r="D34" s="25">
        <v>2</v>
      </c>
      <c r="E34" s="26">
        <v>1310943</v>
      </c>
      <c r="F34" s="26"/>
      <c r="G34" s="26">
        <f>E34-F34</f>
        <v>1310943</v>
      </c>
      <c r="H34" s="26">
        <f>ROUND(G34*5%,0)</f>
        <v>65547</v>
      </c>
      <c r="I34" s="26">
        <f>G34+H34</f>
        <v>1376490</v>
      </c>
      <c r="J34" s="26">
        <f t="shared" si="4"/>
        <v>1310.943</v>
      </c>
      <c r="K34" s="26"/>
      <c r="L34" s="26"/>
      <c r="M34" s="26"/>
      <c r="N34" s="26"/>
      <c r="O34" s="26"/>
      <c r="P34" s="27">
        <f t="shared" si="5"/>
        <v>1375179.057</v>
      </c>
      <c r="Q34" s="50"/>
      <c r="R34" s="76">
        <v>1502196</v>
      </c>
      <c r="S34" s="22" t="s">
        <v>45</v>
      </c>
    </row>
    <row r="35" spans="1:21" ht="20.100000000000001" customHeight="1" x14ac:dyDescent="0.3">
      <c r="A35" s="58"/>
      <c r="B35" s="24" t="s">
        <v>36</v>
      </c>
      <c r="C35" s="44">
        <v>45082</v>
      </c>
      <c r="D35" s="25">
        <v>7</v>
      </c>
      <c r="E35" s="26">
        <v>1431289</v>
      </c>
      <c r="F35" s="26"/>
      <c r="G35" s="26">
        <f t="shared" ref="G35:G39" si="6">E35-F35</f>
        <v>1431289</v>
      </c>
      <c r="H35" s="26">
        <f t="shared" ref="H35:H39" si="7">ROUND(G35*5%,0)</f>
        <v>71564</v>
      </c>
      <c r="I35" s="26">
        <f t="shared" ref="I35:I39" si="8">G35+H35</f>
        <v>1502853</v>
      </c>
      <c r="J35" s="26">
        <f t="shared" si="4"/>
        <v>1431.289</v>
      </c>
      <c r="K35" s="26"/>
      <c r="L35" s="26"/>
      <c r="M35" s="26"/>
      <c r="N35" s="26"/>
      <c r="O35" s="26"/>
      <c r="P35" s="27">
        <f t="shared" si="5"/>
        <v>1501421.7109999999</v>
      </c>
      <c r="Q35" s="50"/>
      <c r="R35" s="76">
        <v>2588698</v>
      </c>
      <c r="S35" s="22" t="s">
        <v>68</v>
      </c>
    </row>
    <row r="36" spans="1:21" ht="20.100000000000001" customHeight="1" x14ac:dyDescent="0.3">
      <c r="A36" s="58"/>
      <c r="B36" s="24" t="s">
        <v>36</v>
      </c>
      <c r="C36" s="44">
        <v>45101</v>
      </c>
      <c r="D36" s="25">
        <v>12</v>
      </c>
      <c r="E36" s="26">
        <v>2467777</v>
      </c>
      <c r="F36" s="26"/>
      <c r="G36" s="26">
        <f t="shared" si="6"/>
        <v>2467777</v>
      </c>
      <c r="H36" s="26">
        <f t="shared" si="7"/>
        <v>123389</v>
      </c>
      <c r="I36" s="26">
        <f t="shared" si="8"/>
        <v>2591166</v>
      </c>
      <c r="J36" s="26">
        <f t="shared" si="4"/>
        <v>2467.777</v>
      </c>
      <c r="K36" s="26"/>
      <c r="L36" s="26"/>
      <c r="M36" s="26"/>
      <c r="N36" s="26"/>
      <c r="O36" s="26"/>
      <c r="P36" s="27">
        <f t="shared" si="5"/>
        <v>2588698.2230000002</v>
      </c>
      <c r="Q36" s="50"/>
      <c r="R36" s="76">
        <v>1475551</v>
      </c>
      <c r="S36" s="22" t="s">
        <v>59</v>
      </c>
    </row>
    <row r="37" spans="1:21" ht="20.100000000000001" customHeight="1" x14ac:dyDescent="0.3">
      <c r="A37" s="58"/>
      <c r="B37" s="24" t="s">
        <v>36</v>
      </c>
      <c r="C37" s="44">
        <v>45121</v>
      </c>
      <c r="D37" s="25">
        <v>13</v>
      </c>
      <c r="E37" s="26">
        <v>1406627</v>
      </c>
      <c r="F37" s="26"/>
      <c r="G37" s="26">
        <f t="shared" si="6"/>
        <v>1406627</v>
      </c>
      <c r="H37" s="26">
        <f t="shared" si="7"/>
        <v>70331</v>
      </c>
      <c r="I37" s="26">
        <f t="shared" si="8"/>
        <v>1476958</v>
      </c>
      <c r="J37" s="26">
        <f t="shared" si="4"/>
        <v>1406.627</v>
      </c>
      <c r="K37" s="26"/>
      <c r="L37" s="26"/>
      <c r="M37" s="26"/>
      <c r="N37" s="26"/>
      <c r="O37" s="26"/>
      <c r="P37" s="27">
        <f t="shared" si="5"/>
        <v>1475551.3729999999</v>
      </c>
      <c r="Q37" s="50"/>
      <c r="R37" s="76">
        <v>1000000</v>
      </c>
      <c r="S37" s="22" t="s">
        <v>60</v>
      </c>
    </row>
    <row r="38" spans="1:21" ht="20.100000000000001" customHeight="1" x14ac:dyDescent="0.3">
      <c r="A38" s="58"/>
      <c r="B38" s="24" t="s">
        <v>36</v>
      </c>
      <c r="C38" s="44">
        <v>45154</v>
      </c>
      <c r="D38" s="25">
        <v>14</v>
      </c>
      <c r="E38" s="26">
        <v>1226032</v>
      </c>
      <c r="F38" s="26"/>
      <c r="G38" s="26">
        <f t="shared" si="6"/>
        <v>1226032</v>
      </c>
      <c r="H38" s="26">
        <f t="shared" si="7"/>
        <v>61302</v>
      </c>
      <c r="I38" s="26">
        <f t="shared" si="8"/>
        <v>1287334</v>
      </c>
      <c r="J38" s="26">
        <f t="shared" si="4"/>
        <v>1226.0319999999999</v>
      </c>
      <c r="K38" s="26"/>
      <c r="L38" s="26"/>
      <c r="M38" s="26"/>
      <c r="N38" s="26"/>
      <c r="O38" s="26"/>
      <c r="P38" s="27">
        <f t="shared" si="5"/>
        <v>1286107.9680000001</v>
      </c>
      <c r="Q38" s="50"/>
      <c r="R38" s="76">
        <v>286108</v>
      </c>
      <c r="S38" s="22" t="s">
        <v>61</v>
      </c>
    </row>
    <row r="39" spans="1:21" ht="20.100000000000001" customHeight="1" x14ac:dyDescent="0.3">
      <c r="A39" s="58"/>
      <c r="B39" s="24" t="s">
        <v>36</v>
      </c>
      <c r="C39" s="44">
        <v>45188</v>
      </c>
      <c r="D39" s="25">
        <v>19</v>
      </c>
      <c r="E39" s="26">
        <v>2085554</v>
      </c>
      <c r="F39" s="26"/>
      <c r="G39" s="26">
        <f t="shared" si="6"/>
        <v>2085554</v>
      </c>
      <c r="H39" s="26">
        <f t="shared" si="7"/>
        <v>104278</v>
      </c>
      <c r="I39" s="26">
        <f t="shared" si="8"/>
        <v>2189832</v>
      </c>
      <c r="J39" s="26">
        <f t="shared" si="4"/>
        <v>2085.5540000000001</v>
      </c>
      <c r="K39" s="26"/>
      <c r="L39" s="26"/>
      <c r="M39" s="26"/>
      <c r="N39" s="23"/>
      <c r="O39" s="23"/>
      <c r="P39" s="27">
        <f t="shared" si="5"/>
        <v>2187746.446</v>
      </c>
      <c r="Q39" s="50"/>
      <c r="R39" s="76">
        <v>1000000</v>
      </c>
      <c r="S39" s="22" t="s">
        <v>74</v>
      </c>
    </row>
    <row r="40" spans="1:21" ht="20.100000000000001" customHeight="1" x14ac:dyDescent="0.3">
      <c r="A40" s="58"/>
      <c r="B40" s="24"/>
      <c r="C40" s="44"/>
      <c r="D40" s="25"/>
      <c r="E40" s="26"/>
      <c r="F40" s="26"/>
      <c r="G40" s="26"/>
      <c r="H40" s="26"/>
      <c r="I40" s="26"/>
      <c r="J40" s="26"/>
      <c r="K40" s="26"/>
      <c r="L40" s="26"/>
      <c r="M40" s="26"/>
      <c r="N40" s="23"/>
      <c r="O40" s="23"/>
      <c r="P40" s="27"/>
      <c r="Q40" s="50"/>
      <c r="R40" s="76">
        <v>300000</v>
      </c>
      <c r="S40" s="22" t="s">
        <v>75</v>
      </c>
    </row>
    <row r="41" spans="1:21" ht="20.100000000000001" customHeight="1" x14ac:dyDescent="0.3">
      <c r="A41" s="58"/>
      <c r="B41" s="23"/>
      <c r="C41" s="4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2"/>
      <c r="Q41" s="50"/>
      <c r="R41" s="77">
        <v>400000</v>
      </c>
      <c r="S41" s="22" t="s">
        <v>77</v>
      </c>
    </row>
    <row r="42" spans="1:21" ht="20.100000000000001" customHeight="1" x14ac:dyDescent="0.3">
      <c r="A42" s="58"/>
      <c r="B42" s="23"/>
      <c r="C42" s="4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2"/>
      <c r="Q42" s="50"/>
      <c r="R42" s="76"/>
      <c r="S42" s="22"/>
      <c r="T42" s="1">
        <f>SUM(P26:P42)-SUM(R26:R42)</f>
        <v>479926.85349999741</v>
      </c>
    </row>
    <row r="43" spans="1:21" ht="20.100000000000001" customHeight="1" x14ac:dyDescent="0.3">
      <c r="A43" s="87"/>
      <c r="B43" s="88"/>
      <c r="C43" s="89"/>
      <c r="D43" s="90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2"/>
      <c r="Q43" s="93">
        <f>A44</f>
        <v>52652</v>
      </c>
      <c r="R43" s="94"/>
      <c r="S43" s="95"/>
    </row>
    <row r="44" spans="1:21" ht="20.100000000000001" customHeight="1" x14ac:dyDescent="0.3">
      <c r="A44" s="58">
        <v>52652</v>
      </c>
      <c r="B44" s="20" t="s">
        <v>46</v>
      </c>
      <c r="C44" s="45">
        <v>44910</v>
      </c>
      <c r="D44" s="20">
        <v>36</v>
      </c>
      <c r="E44" s="20">
        <v>1049593</v>
      </c>
      <c r="F44" s="20">
        <v>0</v>
      </c>
      <c r="G44" s="20">
        <v>1049593</v>
      </c>
      <c r="H44" s="20">
        <v>188927</v>
      </c>
      <c r="I44" s="20">
        <v>1238520</v>
      </c>
      <c r="J44" s="20">
        <f>G44*2%</f>
        <v>20991.86</v>
      </c>
      <c r="K44" s="20">
        <v>52480</v>
      </c>
      <c r="L44" s="20">
        <v>104959</v>
      </c>
      <c r="M44" s="20">
        <v>104959</v>
      </c>
      <c r="N44" s="20">
        <v>303710</v>
      </c>
      <c r="O44" s="96">
        <f>H44</f>
        <v>188927</v>
      </c>
      <c r="P44" s="21">
        <f>ROUND(I44-SUM(J44:O44),0)</f>
        <v>462493</v>
      </c>
      <c r="Q44" s="50"/>
      <c r="R44" s="76">
        <v>462493</v>
      </c>
      <c r="S44" s="22" t="s">
        <v>48</v>
      </c>
      <c r="U44" s="1" t="s">
        <v>71</v>
      </c>
    </row>
    <row r="45" spans="1:21" ht="20.100000000000001" customHeight="1" x14ac:dyDescent="0.3">
      <c r="A45" s="58"/>
      <c r="B45" s="20" t="s">
        <v>70</v>
      </c>
      <c r="C45" s="45">
        <v>44925</v>
      </c>
      <c r="D45" s="20">
        <v>36</v>
      </c>
      <c r="E45" s="20">
        <v>150000</v>
      </c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1">
        <f>E45</f>
        <v>150000</v>
      </c>
      <c r="Q45" s="50"/>
      <c r="R45" s="76">
        <v>150000</v>
      </c>
      <c r="S45" s="22" t="s">
        <v>49</v>
      </c>
    </row>
    <row r="46" spans="1:21" ht="20.100000000000001" customHeight="1" x14ac:dyDescent="0.3">
      <c r="A46" s="58"/>
      <c r="B46" s="20" t="s">
        <v>47</v>
      </c>
      <c r="C46" s="45">
        <v>44944</v>
      </c>
      <c r="D46" s="20">
        <v>36</v>
      </c>
      <c r="E46" s="20">
        <v>188927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97">
        <f>E46</f>
        <v>188927</v>
      </c>
      <c r="Q46" s="50"/>
      <c r="R46" s="76">
        <v>188927</v>
      </c>
      <c r="S46" s="22" t="s">
        <v>50</v>
      </c>
    </row>
    <row r="47" spans="1:21" ht="20.100000000000001" customHeight="1" x14ac:dyDescent="0.3">
      <c r="A47" s="58"/>
      <c r="B47" s="23"/>
      <c r="C47" s="4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2"/>
      <c r="Q47" s="50"/>
      <c r="R47" s="76">
        <v>49000</v>
      </c>
      <c r="S47" s="22" t="s">
        <v>51</v>
      </c>
    </row>
    <row r="48" spans="1:21" ht="20.100000000000001" customHeight="1" x14ac:dyDescent="0.3">
      <c r="A48" s="58"/>
      <c r="B48" s="23"/>
      <c r="C48" s="4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2"/>
      <c r="Q48" s="50"/>
      <c r="R48" s="76"/>
      <c r="S48" s="22"/>
      <c r="T48" s="66">
        <f>SUM(P44:P48)-SUM(R44:R48)</f>
        <v>-49000</v>
      </c>
    </row>
    <row r="49" spans="1:22" ht="20.100000000000001" customHeight="1" x14ac:dyDescent="0.3">
      <c r="A49" s="58"/>
      <c r="B49" s="23"/>
      <c r="C49" s="4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2"/>
      <c r="Q49" s="50"/>
      <c r="R49" s="76"/>
      <c r="S49" s="22"/>
      <c r="T49" s="66"/>
    </row>
    <row r="50" spans="1:22" ht="20.100000000000001" customHeight="1" x14ac:dyDescent="0.3">
      <c r="A50" s="58"/>
      <c r="B50" s="23"/>
      <c r="C50" s="4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2"/>
      <c r="Q50" s="50"/>
      <c r="R50" s="76"/>
      <c r="S50" s="22"/>
      <c r="T50" s="66"/>
    </row>
    <row r="51" spans="1:22" ht="20.100000000000001" customHeight="1" x14ac:dyDescent="0.3">
      <c r="A51" s="87"/>
      <c r="B51" s="88"/>
      <c r="C51" s="89"/>
      <c r="D51" s="90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2"/>
      <c r="Q51" s="93">
        <f>A52</f>
        <v>54688</v>
      </c>
      <c r="R51" s="94"/>
      <c r="S51" s="95"/>
    </row>
    <row r="52" spans="1:22" ht="20.100000000000001" customHeight="1" x14ac:dyDescent="0.3">
      <c r="A52" s="58">
        <v>54688</v>
      </c>
      <c r="B52" s="18" t="s">
        <v>52</v>
      </c>
      <c r="C52" s="42">
        <v>44946</v>
      </c>
      <c r="D52" s="28">
        <v>1</v>
      </c>
      <c r="E52" s="20">
        <v>1017952</v>
      </c>
      <c r="F52" s="20">
        <v>0</v>
      </c>
      <c r="G52" s="20">
        <f>E52-F52</f>
        <v>1017952</v>
      </c>
      <c r="H52" s="20">
        <f>ROUND(G52*$H$5,0)</f>
        <v>183231</v>
      </c>
      <c r="I52" s="20">
        <f>ROUND(G52+H52,)</f>
        <v>1201183</v>
      </c>
      <c r="J52" s="20">
        <f>G52*2%</f>
        <v>20359.04</v>
      </c>
      <c r="K52" s="20">
        <f>G52*$K$5</f>
        <v>50897.600000000006</v>
      </c>
      <c r="L52" s="20">
        <f>G52*$L$5</f>
        <v>101795.20000000001</v>
      </c>
      <c r="M52" s="20">
        <f>G52*$M$5</f>
        <v>101795.20000000001</v>
      </c>
      <c r="N52" s="20">
        <v>163961</v>
      </c>
      <c r="O52" s="96">
        <f>H52</f>
        <v>183231</v>
      </c>
      <c r="P52" s="21">
        <f>ROUND(I52-SUM(J52:O52),0)</f>
        <v>579144</v>
      </c>
      <c r="Q52" s="50"/>
      <c r="R52" s="76">
        <v>579144</v>
      </c>
      <c r="S52" s="22" t="s">
        <v>53</v>
      </c>
      <c r="U52" s="1" t="s">
        <v>71</v>
      </c>
    </row>
    <row r="53" spans="1:22" ht="20.100000000000001" customHeight="1" x14ac:dyDescent="0.3">
      <c r="A53" s="58"/>
      <c r="B53" s="18" t="s">
        <v>30</v>
      </c>
      <c r="C53" s="42">
        <v>45013</v>
      </c>
      <c r="D53" s="19">
        <v>1</v>
      </c>
      <c r="E53" s="20">
        <v>183231</v>
      </c>
      <c r="F53" s="20"/>
      <c r="G53" s="20">
        <f>E53-F53</f>
        <v>183231</v>
      </c>
      <c r="H53" s="20">
        <v>0</v>
      </c>
      <c r="I53" s="20">
        <f>G53+H53</f>
        <v>183231</v>
      </c>
      <c r="J53" s="20">
        <v>0</v>
      </c>
      <c r="K53" s="20">
        <v>0</v>
      </c>
      <c r="L53" s="20">
        <v>0</v>
      </c>
      <c r="M53" s="20">
        <v>0</v>
      </c>
      <c r="N53" s="20">
        <f>H53</f>
        <v>0</v>
      </c>
      <c r="O53" s="20"/>
      <c r="P53" s="97">
        <f>ROUND(I53-SUM(J53:O53),0)</f>
        <v>183231</v>
      </c>
      <c r="Q53" s="50"/>
      <c r="R53" s="76">
        <v>98000</v>
      </c>
      <c r="S53" s="22" t="s">
        <v>54</v>
      </c>
    </row>
    <row r="54" spans="1:22" ht="20.100000000000001" customHeight="1" x14ac:dyDescent="0.3">
      <c r="A54" s="58"/>
      <c r="B54" s="20"/>
      <c r="C54" s="45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1"/>
      <c r="Q54" s="50"/>
      <c r="R54" s="76">
        <v>183331</v>
      </c>
      <c r="S54" s="22" t="s">
        <v>55</v>
      </c>
    </row>
    <row r="55" spans="1:22" ht="20.100000000000001" customHeight="1" x14ac:dyDescent="0.3">
      <c r="A55" s="58"/>
      <c r="B55" s="20"/>
      <c r="C55" s="45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1"/>
      <c r="Q55" s="50"/>
      <c r="R55" s="76"/>
      <c r="S55" s="22"/>
    </row>
    <row r="56" spans="1:22" ht="20.100000000000001" customHeight="1" x14ac:dyDescent="0.3">
      <c r="A56" s="58"/>
      <c r="B56" s="20"/>
      <c r="C56" s="45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1"/>
      <c r="Q56" s="50"/>
      <c r="R56" s="76"/>
      <c r="S56" s="22"/>
    </row>
    <row r="57" spans="1:22" ht="20.100000000000001" customHeight="1" x14ac:dyDescent="0.3">
      <c r="A57" s="58"/>
      <c r="B57" s="20"/>
      <c r="C57" s="45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1"/>
      <c r="Q57" s="50"/>
      <c r="R57" s="76"/>
      <c r="S57" s="22"/>
      <c r="T57" s="66">
        <f>SUM(P52:P56)-SUM(R52:R56)</f>
        <v>-98100</v>
      </c>
    </row>
    <row r="58" spans="1:22" ht="20.100000000000001" customHeight="1" x14ac:dyDescent="0.3">
      <c r="A58" s="87"/>
      <c r="B58" s="88"/>
      <c r="C58" s="89"/>
      <c r="D58" s="90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2"/>
      <c r="Q58" s="93">
        <f>A59</f>
        <v>55385</v>
      </c>
      <c r="R58" s="94"/>
      <c r="S58" s="95"/>
    </row>
    <row r="59" spans="1:22" ht="20.100000000000001" customHeight="1" x14ac:dyDescent="0.3">
      <c r="A59" s="58">
        <v>55385</v>
      </c>
      <c r="B59" s="18" t="s">
        <v>21</v>
      </c>
      <c r="C59" s="42">
        <v>45002</v>
      </c>
      <c r="D59" s="28">
        <v>42</v>
      </c>
      <c r="E59" s="20">
        <v>1989598</v>
      </c>
      <c r="F59" s="20">
        <v>0</v>
      </c>
      <c r="G59" s="20">
        <f>ROUND(E59-F59,)</f>
        <v>1989598</v>
      </c>
      <c r="H59" s="20">
        <f>ROUND(G59*$H$5,0)</f>
        <v>358128</v>
      </c>
      <c r="I59" s="20">
        <f>G59+H59</f>
        <v>2347726</v>
      </c>
      <c r="J59" s="20">
        <f>G59*2%</f>
        <v>39791.96</v>
      </c>
      <c r="K59" s="20">
        <f>G59*5%</f>
        <v>99479.900000000009</v>
      </c>
      <c r="L59" s="20">
        <f>G59*10%</f>
        <v>198959.80000000002</v>
      </c>
      <c r="M59" s="20">
        <f>G59*10%</f>
        <v>198959.80000000002</v>
      </c>
      <c r="N59" s="20">
        <v>79152</v>
      </c>
      <c r="O59" s="96">
        <f>H59</f>
        <v>358128</v>
      </c>
      <c r="P59" s="21">
        <f>ROUND(I59-SUM(J59:O59),0)</f>
        <v>1373255</v>
      </c>
      <c r="Q59" s="50"/>
      <c r="R59" s="76">
        <v>294000</v>
      </c>
      <c r="S59" s="22" t="s">
        <v>22</v>
      </c>
      <c r="U59" s="1" t="s">
        <v>71</v>
      </c>
    </row>
    <row r="60" spans="1:22" ht="20.100000000000001" customHeight="1" x14ac:dyDescent="0.3">
      <c r="A60" s="58"/>
      <c r="B60" s="18" t="s">
        <v>30</v>
      </c>
      <c r="C60" s="42">
        <v>45055</v>
      </c>
      <c r="D60" s="28">
        <v>42</v>
      </c>
      <c r="E60" s="20">
        <v>358128</v>
      </c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97">
        <v>358128</v>
      </c>
      <c r="Q60" s="50"/>
      <c r="R60" s="76">
        <v>588000</v>
      </c>
      <c r="S60" s="22" t="s">
        <v>23</v>
      </c>
    </row>
    <row r="61" spans="1:22" ht="20.100000000000001" customHeight="1" x14ac:dyDescent="0.3">
      <c r="A61" s="58"/>
      <c r="B61" s="20"/>
      <c r="C61" s="45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1"/>
      <c r="Q61" s="50"/>
      <c r="R61" s="76">
        <v>392000</v>
      </c>
      <c r="S61" s="22" t="s">
        <v>24</v>
      </c>
    </row>
    <row r="62" spans="1:22" ht="20.100000000000001" customHeight="1" x14ac:dyDescent="0.3">
      <c r="A62" s="58"/>
      <c r="B62" s="19"/>
      <c r="C62" s="42"/>
      <c r="D62" s="19"/>
      <c r="E62" s="29"/>
      <c r="F62" s="29"/>
      <c r="G62" s="29"/>
      <c r="H62" s="20"/>
      <c r="I62" s="20"/>
      <c r="J62" s="20"/>
      <c r="K62" s="20"/>
      <c r="L62" s="20"/>
      <c r="M62" s="20"/>
      <c r="N62" s="20"/>
      <c r="O62" s="20"/>
      <c r="P62" s="21"/>
      <c r="Q62" s="50"/>
      <c r="R62" s="76">
        <v>178406</v>
      </c>
      <c r="S62" s="21" t="s">
        <v>56</v>
      </c>
    </row>
    <row r="63" spans="1:22" ht="20.100000000000001" customHeight="1" x14ac:dyDescent="0.3">
      <c r="A63" s="59"/>
      <c r="B63" s="20"/>
      <c r="C63" s="45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1"/>
      <c r="Q63" s="51"/>
      <c r="R63" s="76">
        <v>358128</v>
      </c>
      <c r="S63" s="21" t="s">
        <v>57</v>
      </c>
    </row>
    <row r="64" spans="1:22" ht="20.100000000000001" customHeight="1" x14ac:dyDescent="0.3">
      <c r="A64" s="59"/>
      <c r="B64" s="20"/>
      <c r="C64" s="45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1"/>
      <c r="Q64" s="51"/>
      <c r="R64" s="76"/>
      <c r="S64" s="21"/>
      <c r="T64" s="66">
        <f>SUM(P59:P64)-SUM(R59:R64)</f>
        <v>-79151</v>
      </c>
      <c r="V64" s="1" t="s">
        <v>79</v>
      </c>
    </row>
    <row r="65" spans="1:21" ht="20.100000000000001" customHeight="1" x14ac:dyDescent="0.3">
      <c r="A65" s="87"/>
      <c r="B65" s="88"/>
      <c r="C65" s="89"/>
      <c r="D65" s="90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2"/>
      <c r="Q65" s="93">
        <f>A66</f>
        <v>59266</v>
      </c>
      <c r="R65" s="94"/>
      <c r="S65" s="95"/>
    </row>
    <row r="66" spans="1:21" ht="20.100000000000001" customHeight="1" x14ac:dyDescent="0.3">
      <c r="A66" s="58">
        <v>59266</v>
      </c>
      <c r="B66" s="20" t="s">
        <v>58</v>
      </c>
      <c r="C66" s="42">
        <v>45180</v>
      </c>
      <c r="D66" s="28">
        <v>17</v>
      </c>
      <c r="E66" s="20">
        <v>1643542</v>
      </c>
      <c r="F66" s="20">
        <v>0</v>
      </c>
      <c r="G66" s="20">
        <f>ROUND(E66-F66,)</f>
        <v>1643542</v>
      </c>
      <c r="H66" s="20">
        <f>ROUND(G66*$H$5,0)</f>
        <v>295838</v>
      </c>
      <c r="I66" s="20">
        <f>G66+H66</f>
        <v>1939380</v>
      </c>
      <c r="J66" s="20">
        <f>G66*2%</f>
        <v>32870.840000000004</v>
      </c>
      <c r="K66" s="20">
        <f>ROUND(G66*$K$5,)</f>
        <v>82177</v>
      </c>
      <c r="L66" s="20">
        <f>ROUND(G66*$L$5,)</f>
        <v>164354</v>
      </c>
      <c r="M66" s="20">
        <f>ROUND(G66*$M$5,)</f>
        <v>164354</v>
      </c>
      <c r="N66" s="20">
        <v>236780</v>
      </c>
      <c r="O66" s="96">
        <f>H66</f>
        <v>295838</v>
      </c>
      <c r="P66" s="21">
        <f>ROUND(I66-SUM(J66:O66),0)</f>
        <v>963006</v>
      </c>
      <c r="Q66" s="51"/>
      <c r="R66" s="76">
        <v>963006</v>
      </c>
      <c r="S66" s="21" t="s">
        <v>62</v>
      </c>
      <c r="U66" s="1" t="s">
        <v>78</v>
      </c>
    </row>
    <row r="67" spans="1:21" ht="20.100000000000001" customHeight="1" x14ac:dyDescent="0.3">
      <c r="A67" s="59"/>
      <c r="B67" s="20" t="s">
        <v>64</v>
      </c>
      <c r="C67" s="45"/>
      <c r="D67" s="20"/>
      <c r="E67" s="20">
        <v>295838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97">
        <v>295838</v>
      </c>
      <c r="Q67" s="51"/>
      <c r="R67" s="76">
        <v>295838</v>
      </c>
      <c r="S67" s="63" t="s">
        <v>69</v>
      </c>
    </row>
    <row r="68" spans="1:21" ht="20.100000000000001" customHeight="1" x14ac:dyDescent="0.3">
      <c r="A68" s="59"/>
      <c r="B68" s="20"/>
      <c r="C68" s="45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1"/>
      <c r="Q68" s="51"/>
      <c r="R68" s="76"/>
      <c r="S68" s="64"/>
    </row>
    <row r="69" spans="1:21" ht="20.100000000000001" customHeight="1" x14ac:dyDescent="0.3">
      <c r="A69" s="59"/>
      <c r="B69" s="20"/>
      <c r="C69" s="45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1"/>
      <c r="Q69" s="51"/>
      <c r="R69" s="76"/>
      <c r="S69" s="21"/>
    </row>
    <row r="70" spans="1:21" ht="20.100000000000001" customHeight="1" x14ac:dyDescent="0.3">
      <c r="A70" s="59"/>
      <c r="B70" s="20"/>
      <c r="C70" s="45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1"/>
      <c r="Q70" s="51"/>
      <c r="R70" s="76"/>
      <c r="S70" s="21"/>
    </row>
    <row r="71" spans="1:21" ht="20.100000000000001" customHeight="1" x14ac:dyDescent="0.3">
      <c r="A71" s="59"/>
      <c r="B71" s="20"/>
      <c r="C71" s="45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1"/>
      <c r="Q71" s="51"/>
      <c r="R71" s="76"/>
      <c r="S71" s="21"/>
    </row>
    <row r="72" spans="1:21" ht="20.100000000000001" customHeight="1" thickBot="1" x14ac:dyDescent="0.35">
      <c r="A72" s="60"/>
      <c r="B72" s="11"/>
      <c r="C72" s="40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2"/>
      <c r="Q72" s="72"/>
      <c r="R72" s="78"/>
      <c r="S72" s="30"/>
      <c r="T72" s="66">
        <f>SUM(P66:P71)-SUM(R66:R71)</f>
        <v>0</v>
      </c>
    </row>
    <row r="73" spans="1:21" ht="20.100000000000001" customHeight="1" x14ac:dyDescent="0.3">
      <c r="A73" s="61"/>
      <c r="B73" s="31"/>
      <c r="C73" s="46"/>
      <c r="D73" s="31"/>
      <c r="E73" s="31"/>
      <c r="F73" s="31"/>
      <c r="G73" s="31"/>
      <c r="H73" s="31"/>
      <c r="I73" s="31"/>
      <c r="J73" s="31"/>
      <c r="K73" s="32">
        <f t="shared" ref="K73:O73" si="9">SUM(K7:K72)</f>
        <v>448572.5</v>
      </c>
      <c r="L73" s="32">
        <f t="shared" si="9"/>
        <v>897145</v>
      </c>
      <c r="M73" s="32">
        <f t="shared" si="9"/>
        <v>897145</v>
      </c>
      <c r="N73" s="32">
        <f t="shared" si="9"/>
        <v>1892465</v>
      </c>
      <c r="O73" s="32">
        <f t="shared" si="9"/>
        <v>1614862</v>
      </c>
      <c r="P73" s="33">
        <f>SUM(P7:P72)</f>
        <v>24892880.610099997</v>
      </c>
      <c r="Q73" s="67"/>
      <c r="R73" s="79">
        <f>SUM(R7:R72)</f>
        <v>25613425</v>
      </c>
      <c r="S73" s="33" t="s">
        <v>80</v>
      </c>
    </row>
    <row r="74" spans="1:21" ht="20.100000000000001" customHeight="1" x14ac:dyDescent="0.3">
      <c r="A74" s="59"/>
      <c r="B74" s="20"/>
      <c r="C74" s="45"/>
      <c r="D74" s="20"/>
      <c r="E74" s="20"/>
      <c r="F74" s="20"/>
      <c r="G74" s="20"/>
      <c r="H74" s="20"/>
      <c r="I74" s="20"/>
      <c r="J74" s="20"/>
      <c r="K74" s="102"/>
      <c r="L74" s="102"/>
      <c r="M74" s="102"/>
      <c r="N74" s="102"/>
      <c r="O74" s="102"/>
      <c r="P74" s="21"/>
      <c r="Q74" s="51"/>
      <c r="R74" s="76"/>
      <c r="S74" s="68"/>
    </row>
    <row r="75" spans="1:21" ht="20.100000000000001" customHeight="1" x14ac:dyDescent="0.3">
      <c r="A75" s="59"/>
      <c r="B75" s="20"/>
      <c r="C75" s="45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1"/>
      <c r="Q75" s="51"/>
      <c r="R75" s="80">
        <f>P73-R73</f>
        <v>-720544.38990000263</v>
      </c>
      <c r="S75" s="68" t="s">
        <v>81</v>
      </c>
    </row>
    <row r="76" spans="1:21" ht="20.100000000000001" customHeight="1" thickBot="1" x14ac:dyDescent="0.35">
      <c r="A76" s="56"/>
      <c r="B76" s="34"/>
      <c r="C76" s="47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5"/>
      <c r="Q76" s="52"/>
      <c r="R76" s="74"/>
      <c r="S76" s="69"/>
    </row>
    <row r="80" spans="1:21" ht="20.100000000000001" customHeight="1" thickBot="1" x14ac:dyDescent="0.35"/>
    <row r="81" spans="13:15" ht="20.100000000000001" customHeight="1" thickBot="1" x14ac:dyDescent="0.35">
      <c r="M81" s="123" t="s">
        <v>82</v>
      </c>
      <c r="N81" s="124"/>
      <c r="O81" s="125"/>
    </row>
    <row r="82" spans="13:15" ht="20.100000000000001" customHeight="1" thickBot="1" x14ac:dyDescent="0.35">
      <c r="M82" s="126" t="s">
        <v>87</v>
      </c>
      <c r="N82" s="127"/>
      <c r="O82" s="128"/>
    </row>
    <row r="83" spans="13:15" ht="20.100000000000001" customHeight="1" x14ac:dyDescent="0.3">
      <c r="M83" s="99" t="s">
        <v>83</v>
      </c>
      <c r="N83" s="129">
        <f>K73+L73+M73</f>
        <v>2242862.5</v>
      </c>
      <c r="O83" s="130"/>
    </row>
    <row r="84" spans="13:15" ht="20.100000000000001" customHeight="1" x14ac:dyDescent="0.3">
      <c r="M84" s="100" t="s">
        <v>84</v>
      </c>
      <c r="N84" s="131">
        <f>N73</f>
        <v>1892465</v>
      </c>
      <c r="O84" s="132"/>
    </row>
    <row r="85" spans="13:15" ht="20.100000000000001" customHeight="1" x14ac:dyDescent="0.3">
      <c r="M85" s="100" t="s">
        <v>85</v>
      </c>
      <c r="N85" s="133" t="s">
        <v>88</v>
      </c>
      <c r="O85" s="134"/>
    </row>
    <row r="86" spans="13:15" ht="20.100000000000001" customHeight="1" thickBot="1" x14ac:dyDescent="0.35">
      <c r="M86" s="101" t="s">
        <v>86</v>
      </c>
      <c r="N86" s="121">
        <f>R75</f>
        <v>-720544.38990000263</v>
      </c>
      <c r="O86" s="122"/>
    </row>
  </sheetData>
  <mergeCells count="6">
    <mergeCell ref="N86:O86"/>
    <mergeCell ref="M81:O81"/>
    <mergeCell ref="M82:O82"/>
    <mergeCell ref="N83:O83"/>
    <mergeCell ref="N84:O84"/>
    <mergeCell ref="N85:O85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6D6D3-1E85-46D0-9059-970B858A1FFA}">
  <dimension ref="A1:V68"/>
  <sheetViews>
    <sheetView zoomScale="85" zoomScaleNormal="85" workbookViewId="0">
      <pane ySplit="4" topLeftCell="A44" activePane="bottomLeft" state="frozen"/>
      <selection pane="bottomLeft" activeCell="S63" sqref="S63"/>
    </sheetView>
  </sheetViews>
  <sheetFormatPr defaultColWidth="9" defaultRowHeight="20.100000000000001" customHeight="1" x14ac:dyDescent="0.3"/>
  <cols>
    <col min="1" max="1" width="6.109375" style="48" bestFit="1" customWidth="1"/>
    <col min="2" max="2" width="34.33203125" style="1" bestFit="1" customWidth="1"/>
    <col min="3" max="3" width="13.109375" style="36" bestFit="1" customWidth="1"/>
    <col min="4" max="4" width="24.44140625" style="1" bestFit="1" customWidth="1"/>
    <col min="5" max="5" width="12.6640625" style="1" bestFit="1" customWidth="1"/>
    <col min="6" max="6" width="10.33203125" style="1" bestFit="1" customWidth="1"/>
    <col min="7" max="7" width="17" style="1" bestFit="1" customWidth="1"/>
    <col min="8" max="8" width="11.6640625" style="1" bestFit="1" customWidth="1"/>
    <col min="9" max="9" width="15.33203125" style="1" bestFit="1" customWidth="1"/>
    <col min="10" max="10" width="10.33203125" style="1" bestFit="1" customWidth="1"/>
    <col min="11" max="11" width="14.44140625" style="1" bestFit="1" customWidth="1"/>
    <col min="12" max="12" width="19.33203125" style="1" bestFit="1" customWidth="1"/>
    <col min="13" max="13" width="19.109375" style="1" customWidth="1"/>
    <col min="14" max="14" width="17.88671875" style="1" customWidth="1"/>
    <col min="15" max="15" width="15" style="1" bestFit="1" customWidth="1"/>
    <col min="16" max="16" width="17.109375" style="1" bestFit="1" customWidth="1"/>
    <col min="17" max="17" width="7.44140625" style="48" bestFit="1" customWidth="1"/>
    <col min="18" max="18" width="19.33203125" style="1" bestFit="1" customWidth="1"/>
    <col min="19" max="19" width="93.33203125" style="1" bestFit="1" customWidth="1"/>
    <col min="20" max="20" width="15.5546875" style="1" bestFit="1" customWidth="1"/>
    <col min="21" max="21" width="22" style="1" bestFit="1" customWidth="1"/>
    <col min="22" max="22" width="25.33203125" style="1" bestFit="1" customWidth="1"/>
    <col min="23" max="16384" width="9" style="1"/>
  </cols>
  <sheetData>
    <row r="1" spans="1:21" ht="20.100000000000001" customHeight="1" x14ac:dyDescent="0.3">
      <c r="B1" s="2" t="s">
        <v>19</v>
      </c>
    </row>
    <row r="2" spans="1:21" ht="20.100000000000001" customHeight="1" x14ac:dyDescent="0.3">
      <c r="B2" s="3" t="s">
        <v>0</v>
      </c>
      <c r="C2" s="37"/>
      <c r="D2" s="3" t="s">
        <v>20</v>
      </c>
      <c r="G2" s="4"/>
      <c r="I2" s="4" t="s">
        <v>15</v>
      </c>
      <c r="J2" s="5"/>
      <c r="K2" s="5"/>
      <c r="L2" s="5"/>
      <c r="M2" s="5"/>
      <c r="N2" s="5"/>
      <c r="O2" s="5"/>
      <c r="P2" s="5"/>
      <c r="Q2" s="49"/>
    </row>
    <row r="3" spans="1:21" ht="20.100000000000001" customHeight="1" thickBot="1" x14ac:dyDescent="0.35">
      <c r="B3" s="5"/>
      <c r="C3" s="38"/>
      <c r="D3" s="5"/>
      <c r="E3" s="5"/>
      <c r="F3" s="5"/>
      <c r="G3" s="5"/>
      <c r="H3" s="5"/>
      <c r="I3" s="5"/>
      <c r="J3" s="5"/>
      <c r="K3" s="5"/>
      <c r="L3" s="5"/>
      <c r="M3" s="5"/>
      <c r="R3" s="6"/>
      <c r="S3" s="6"/>
    </row>
    <row r="4" spans="1:21" ht="53.25" customHeight="1" x14ac:dyDescent="0.3">
      <c r="A4" s="55"/>
      <c r="B4" s="7" t="s">
        <v>1</v>
      </c>
      <c r="C4" s="39" t="s">
        <v>2</v>
      </c>
      <c r="D4" s="7" t="s">
        <v>3</v>
      </c>
      <c r="E4" s="7" t="s">
        <v>4</v>
      </c>
      <c r="F4" s="7" t="s">
        <v>13</v>
      </c>
      <c r="G4" s="7" t="s">
        <v>14</v>
      </c>
      <c r="H4" s="8" t="s">
        <v>5</v>
      </c>
      <c r="I4" s="7" t="s">
        <v>6</v>
      </c>
      <c r="J4" s="9" t="s">
        <v>12</v>
      </c>
      <c r="K4" s="9" t="s">
        <v>11</v>
      </c>
      <c r="L4" s="9" t="s">
        <v>16</v>
      </c>
      <c r="M4" s="9" t="s">
        <v>17</v>
      </c>
      <c r="N4" s="9" t="s">
        <v>18</v>
      </c>
      <c r="O4" s="9" t="s">
        <v>7</v>
      </c>
      <c r="P4" s="53" t="s">
        <v>8</v>
      </c>
      <c r="Q4" s="70"/>
      <c r="R4" s="73" t="s">
        <v>9</v>
      </c>
      <c r="S4" s="10" t="s">
        <v>10</v>
      </c>
    </row>
    <row r="5" spans="1:21" ht="20.100000000000001" customHeight="1" thickBot="1" x14ac:dyDescent="0.35">
      <c r="A5" s="56"/>
      <c r="B5" s="11"/>
      <c r="C5" s="40"/>
      <c r="D5" s="11"/>
      <c r="E5" s="11"/>
      <c r="F5" s="11"/>
      <c r="G5" s="11"/>
      <c r="H5" s="11">
        <v>0.18</v>
      </c>
      <c r="I5" s="11"/>
      <c r="J5" s="11">
        <v>0.02</v>
      </c>
      <c r="K5" s="11">
        <v>0.05</v>
      </c>
      <c r="L5" s="11">
        <v>0.1</v>
      </c>
      <c r="M5" s="11">
        <v>0.1</v>
      </c>
      <c r="N5" s="11">
        <v>0.18</v>
      </c>
      <c r="O5" s="11"/>
      <c r="P5" s="54"/>
      <c r="Q5" s="71"/>
      <c r="R5" s="74"/>
      <c r="S5" s="12"/>
    </row>
    <row r="6" spans="1:21" ht="20.100000000000001" customHeight="1" x14ac:dyDescent="0.3">
      <c r="A6" s="57"/>
      <c r="B6" s="13"/>
      <c r="C6" s="41"/>
      <c r="D6" s="14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6"/>
      <c r="Q6" s="65">
        <f>A7</f>
        <v>51915</v>
      </c>
      <c r="R6" s="75"/>
      <c r="S6" s="17"/>
    </row>
    <row r="7" spans="1:21" ht="14.4" x14ac:dyDescent="0.3">
      <c r="A7" s="58">
        <v>51915</v>
      </c>
      <c r="B7" s="18" t="s">
        <v>25</v>
      </c>
      <c r="C7" s="42">
        <v>44842</v>
      </c>
      <c r="D7" s="19">
        <v>30</v>
      </c>
      <c r="E7" s="20">
        <v>777005.67</v>
      </c>
      <c r="F7" s="20">
        <v>0</v>
      </c>
      <c r="G7" s="20">
        <f>E7-F7</f>
        <v>777005.67</v>
      </c>
      <c r="H7" s="20">
        <f>ROUND(G7*18%,)</f>
        <v>139861</v>
      </c>
      <c r="I7" s="20">
        <f t="shared" ref="I7" si="0">G7+H7</f>
        <v>916866.67</v>
      </c>
      <c r="J7" s="20">
        <f>G7*2%</f>
        <v>15540.113400000002</v>
      </c>
      <c r="K7" s="20">
        <f>ROUND(G7*$K$5,)</f>
        <v>38850</v>
      </c>
      <c r="L7" s="20">
        <f>ROUND(G7*$L$5,)</f>
        <v>77701</v>
      </c>
      <c r="M7" s="20">
        <f>ROUND(G7*$M$5,)</f>
        <v>77701</v>
      </c>
      <c r="N7" s="20">
        <v>294861</v>
      </c>
      <c r="O7" s="96">
        <f>H7</f>
        <v>139861</v>
      </c>
      <c r="P7" s="21">
        <f>I7-SUM(J7:O7)</f>
        <v>272352.55660000001</v>
      </c>
      <c r="Q7" s="50"/>
      <c r="R7" s="76">
        <v>294000</v>
      </c>
      <c r="S7" s="22" t="s">
        <v>26</v>
      </c>
      <c r="U7" s="1" t="s">
        <v>71</v>
      </c>
    </row>
    <row r="8" spans="1:21" ht="20.100000000000001" customHeight="1" x14ac:dyDescent="0.3">
      <c r="A8" s="58"/>
      <c r="B8" s="23" t="s">
        <v>64</v>
      </c>
      <c r="C8" s="43">
        <v>44886</v>
      </c>
      <c r="D8" s="23">
        <v>30</v>
      </c>
      <c r="E8" s="23">
        <v>139861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98">
        <f>E8</f>
        <v>139861</v>
      </c>
      <c r="Q8" s="50"/>
      <c r="R8" s="76">
        <v>98000</v>
      </c>
      <c r="S8" s="22" t="s">
        <v>27</v>
      </c>
    </row>
    <row r="9" spans="1:21" ht="20.100000000000001" customHeight="1" x14ac:dyDescent="0.3">
      <c r="A9" s="58"/>
      <c r="B9" s="23" t="s">
        <v>70</v>
      </c>
      <c r="C9" s="43">
        <v>44904</v>
      </c>
      <c r="D9" s="23"/>
      <c r="E9" s="23">
        <v>130000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2">
        <f>E9</f>
        <v>130000</v>
      </c>
      <c r="Q9" s="50"/>
      <c r="R9" s="76">
        <v>196000</v>
      </c>
      <c r="S9" s="22" t="s">
        <v>28</v>
      </c>
    </row>
    <row r="10" spans="1:21" ht="20.100000000000001" customHeight="1" x14ac:dyDescent="0.3">
      <c r="A10" s="58"/>
      <c r="B10" s="23"/>
      <c r="C10" s="4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/>
      <c r="Q10" s="50"/>
      <c r="R10" s="76">
        <v>130000</v>
      </c>
      <c r="S10" s="22" t="s">
        <v>63</v>
      </c>
    </row>
    <row r="11" spans="1:21" ht="20.100000000000001" customHeight="1" x14ac:dyDescent="0.3">
      <c r="A11" s="81"/>
      <c r="B11" s="82"/>
      <c r="C11" s="83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4"/>
      <c r="Q11" s="85"/>
      <c r="R11" s="86"/>
      <c r="S11" s="84"/>
      <c r="T11" s="66">
        <f>SUM(P7:P11)-SUM(R7:R11)</f>
        <v>-175786.44339999999</v>
      </c>
    </row>
    <row r="12" spans="1:21" ht="20.100000000000001" customHeight="1" x14ac:dyDescent="0.3">
      <c r="A12" s="87"/>
      <c r="B12" s="88"/>
      <c r="C12" s="89"/>
      <c r="D12" s="90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Q12" s="93">
        <f>A13</f>
        <v>51916</v>
      </c>
      <c r="R12" s="94"/>
      <c r="S12" s="95"/>
    </row>
    <row r="13" spans="1:21" ht="27.75" customHeight="1" x14ac:dyDescent="0.3">
      <c r="A13" s="58">
        <v>51916</v>
      </c>
      <c r="B13" s="18" t="s">
        <v>29</v>
      </c>
      <c r="C13" s="42">
        <v>44842</v>
      </c>
      <c r="D13" s="19">
        <v>29</v>
      </c>
      <c r="E13" s="20">
        <v>777143</v>
      </c>
      <c r="F13" s="20">
        <v>0</v>
      </c>
      <c r="G13" s="20">
        <f>E13-F13</f>
        <v>777143</v>
      </c>
      <c r="H13" s="20">
        <f>ROUND(G13*18%,)</f>
        <v>139886</v>
      </c>
      <c r="I13" s="20">
        <f>G13+H13</f>
        <v>917029</v>
      </c>
      <c r="J13" s="20">
        <f>G13*2%</f>
        <v>15542.86</v>
      </c>
      <c r="K13" s="20">
        <f>ROUND(G13*$K$5,)</f>
        <v>38857</v>
      </c>
      <c r="L13" s="20">
        <f>ROUND(G13*$L$5,)</f>
        <v>77714</v>
      </c>
      <c r="M13" s="20">
        <f>ROUND(G13*$M$5,)</f>
        <v>77714</v>
      </c>
      <c r="N13" s="20">
        <v>264315</v>
      </c>
      <c r="O13" s="96">
        <f>H13</f>
        <v>139886</v>
      </c>
      <c r="P13" s="21">
        <f>I13-SUM(J13:O13)</f>
        <v>303000.14</v>
      </c>
      <c r="Q13" s="50"/>
      <c r="R13" s="76">
        <v>294000</v>
      </c>
      <c r="S13" s="22" t="s">
        <v>31</v>
      </c>
      <c r="U13" s="1" t="s">
        <v>71</v>
      </c>
    </row>
    <row r="14" spans="1:21" ht="14.4" x14ac:dyDescent="0.3">
      <c r="A14" s="58"/>
      <c r="B14" s="18" t="s">
        <v>30</v>
      </c>
      <c r="C14" s="42">
        <v>44886</v>
      </c>
      <c r="D14" s="19">
        <v>29</v>
      </c>
      <c r="E14" s="20">
        <f>O13</f>
        <v>139886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97">
        <f>E14</f>
        <v>139886</v>
      </c>
      <c r="Q14" s="50"/>
      <c r="R14" s="76">
        <v>98000</v>
      </c>
      <c r="S14" s="22" t="s">
        <v>32</v>
      </c>
    </row>
    <row r="15" spans="1:21" ht="14.4" x14ac:dyDescent="0.2">
      <c r="A15" s="58"/>
      <c r="B15" s="18" t="s">
        <v>70</v>
      </c>
      <c r="C15" s="42">
        <v>44914</v>
      </c>
      <c r="D15" s="19">
        <v>29</v>
      </c>
      <c r="E15" s="20">
        <v>130000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>
        <f>E15</f>
        <v>130000</v>
      </c>
      <c r="Q15" s="50"/>
      <c r="R15" s="76">
        <v>130000</v>
      </c>
      <c r="S15" s="62" t="s">
        <v>65</v>
      </c>
    </row>
    <row r="16" spans="1:21" ht="14.4" x14ac:dyDescent="0.2">
      <c r="A16" s="58"/>
      <c r="B16" s="18" t="s">
        <v>73</v>
      </c>
      <c r="C16" s="42">
        <v>45206</v>
      </c>
      <c r="D16" s="19">
        <v>24</v>
      </c>
      <c r="E16" s="20">
        <v>319572</v>
      </c>
      <c r="F16" s="20">
        <v>95375</v>
      </c>
      <c r="G16" s="20">
        <f>E16-F16</f>
        <v>224197</v>
      </c>
      <c r="H16" s="20">
        <f>ROUND(G16*18%,)</f>
        <v>40355</v>
      </c>
      <c r="I16" s="20">
        <f>G16+H16</f>
        <v>264552</v>
      </c>
      <c r="J16" s="20">
        <f>G16*2%</f>
        <v>4483.9400000000005</v>
      </c>
      <c r="K16" s="20">
        <f>ROUND(G16*$K$5,)</f>
        <v>11210</v>
      </c>
      <c r="L16" s="20">
        <f>ROUND(G16*$L$5,)</f>
        <v>22420</v>
      </c>
      <c r="M16" s="20">
        <f>ROUND(G16*$M$5,)</f>
        <v>22420</v>
      </c>
      <c r="N16" s="20">
        <v>0</v>
      </c>
      <c r="O16" s="96">
        <f>H16</f>
        <v>40355</v>
      </c>
      <c r="P16" s="21">
        <f>I16-SUM(J16:O16)</f>
        <v>163663.06</v>
      </c>
      <c r="Q16" s="50"/>
      <c r="R16" s="76">
        <v>89743</v>
      </c>
      <c r="S16" s="62" t="s">
        <v>66</v>
      </c>
    </row>
    <row r="17" spans="1:21" ht="20.100000000000001" customHeight="1" x14ac:dyDescent="0.2">
      <c r="A17" s="58"/>
      <c r="B17" s="18" t="s">
        <v>30</v>
      </c>
      <c r="C17" s="42">
        <v>45260</v>
      </c>
      <c r="D17" s="19">
        <v>24</v>
      </c>
      <c r="E17" s="20">
        <v>40355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97">
        <f>E17</f>
        <v>40355</v>
      </c>
      <c r="Q17" s="50"/>
      <c r="R17" s="76">
        <v>163661</v>
      </c>
      <c r="S17" s="62" t="s">
        <v>67</v>
      </c>
    </row>
    <row r="18" spans="1:21" ht="20.100000000000001" customHeight="1" x14ac:dyDescent="0.2">
      <c r="A18" s="58"/>
      <c r="B18" s="18"/>
      <c r="C18" s="42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Q18" s="50"/>
      <c r="R18" s="76">
        <v>40355</v>
      </c>
      <c r="S18" s="62" t="s">
        <v>72</v>
      </c>
    </row>
    <row r="19" spans="1:21" ht="20.100000000000001" customHeight="1" x14ac:dyDescent="0.2">
      <c r="A19" s="58"/>
      <c r="B19" s="18"/>
      <c r="C19" s="42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/>
      <c r="S19" s="62"/>
    </row>
    <row r="20" spans="1:21" ht="20.100000000000001" customHeight="1" x14ac:dyDescent="0.2">
      <c r="A20" s="58"/>
      <c r="B20" s="18"/>
      <c r="C20" s="42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  <c r="T20" s="66">
        <f>SUM(P13:P20)-SUM(R13:R20)</f>
        <v>-38854.800000000047</v>
      </c>
    </row>
    <row r="21" spans="1:21" ht="20.100000000000001" customHeight="1" x14ac:dyDescent="0.3">
      <c r="A21" s="87"/>
      <c r="B21" s="88"/>
      <c r="C21" s="89"/>
      <c r="D21" s="90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2"/>
      <c r="Q21" s="93">
        <f>A22</f>
        <v>51917</v>
      </c>
      <c r="R21" s="94"/>
      <c r="S21" s="95"/>
    </row>
    <row r="22" spans="1:21" ht="14.4" x14ac:dyDescent="0.3">
      <c r="A22" s="58">
        <v>51917</v>
      </c>
      <c r="B22" s="18" t="s">
        <v>33</v>
      </c>
      <c r="C22" s="42">
        <v>44842</v>
      </c>
      <c r="D22" s="19">
        <v>28</v>
      </c>
      <c r="E22" s="20">
        <v>1492424</v>
      </c>
      <c r="F22" s="20">
        <v>0</v>
      </c>
      <c r="G22" s="20">
        <f>E22-F22</f>
        <v>1492424</v>
      </c>
      <c r="H22" s="20">
        <f>ROUND(G22*18%,)</f>
        <v>268636</v>
      </c>
      <c r="I22" s="20">
        <f>G22+H22</f>
        <v>1761060</v>
      </c>
      <c r="J22" s="20">
        <f>ROUND(G22*$J$5,)</f>
        <v>29848</v>
      </c>
      <c r="K22" s="20">
        <f>ROUND(G22*$K$5,)</f>
        <v>74621</v>
      </c>
      <c r="L22" s="20">
        <f>ROUND(G22*$L$5,)</f>
        <v>149242</v>
      </c>
      <c r="M22" s="20">
        <f>ROUND(G22*$M$5,)</f>
        <v>149242</v>
      </c>
      <c r="N22" s="20">
        <v>549686</v>
      </c>
      <c r="O22" s="96">
        <f>H22</f>
        <v>268636</v>
      </c>
      <c r="P22" s="21">
        <f>I22-SUM(J22:O22)</f>
        <v>539785</v>
      </c>
      <c r="R22" s="76">
        <v>1078000</v>
      </c>
      <c r="S22" s="22" t="s">
        <v>34</v>
      </c>
      <c r="U22" s="1" t="s">
        <v>71</v>
      </c>
    </row>
    <row r="23" spans="1:21" ht="20.100000000000001" customHeight="1" x14ac:dyDescent="0.3">
      <c r="A23" s="58"/>
      <c r="B23" s="18" t="s">
        <v>30</v>
      </c>
      <c r="C23" s="42">
        <v>44886</v>
      </c>
      <c r="D23" s="19">
        <v>28</v>
      </c>
      <c r="E23" s="20">
        <f>O22</f>
        <v>268636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97">
        <f>E23</f>
        <v>268636</v>
      </c>
      <c r="Q23" s="50"/>
      <c r="R23" s="76">
        <v>490000</v>
      </c>
      <c r="S23" s="22" t="s">
        <v>35</v>
      </c>
    </row>
    <row r="24" spans="1:21" ht="20.100000000000001" customHeight="1" x14ac:dyDescent="0.3">
      <c r="A24" s="58"/>
      <c r="B24" s="18"/>
      <c r="C24" s="42"/>
      <c r="D24" s="19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Q24" s="50"/>
      <c r="R24" s="76"/>
      <c r="S24" s="22"/>
      <c r="T24" s="66">
        <f>SUM(P22:P24)-SUM(R22:R24)</f>
        <v>-759579</v>
      </c>
    </row>
    <row r="25" spans="1:21" ht="20.100000000000001" customHeight="1" x14ac:dyDescent="0.3">
      <c r="A25" s="87"/>
      <c r="B25" s="88"/>
      <c r="C25" s="89"/>
      <c r="D25" s="90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2"/>
      <c r="Q25" s="93">
        <f>A26</f>
        <v>52652</v>
      </c>
      <c r="R25" s="94"/>
      <c r="S25" s="95"/>
    </row>
    <row r="26" spans="1:21" ht="20.100000000000001" customHeight="1" x14ac:dyDescent="0.3">
      <c r="A26" s="58">
        <v>52652</v>
      </c>
      <c r="B26" s="20" t="s">
        <v>46</v>
      </c>
      <c r="C26" s="45">
        <v>44910</v>
      </c>
      <c r="D26" s="20">
        <v>36</v>
      </c>
      <c r="E26" s="20">
        <v>1049593</v>
      </c>
      <c r="F26" s="20">
        <v>0</v>
      </c>
      <c r="G26" s="20">
        <v>1049593</v>
      </c>
      <c r="H26" s="20">
        <v>188927</v>
      </c>
      <c r="I26" s="20">
        <v>1238520</v>
      </c>
      <c r="J26" s="20">
        <f>G26*2%</f>
        <v>20991.86</v>
      </c>
      <c r="K26" s="20">
        <v>52480</v>
      </c>
      <c r="L26" s="20">
        <v>104959</v>
      </c>
      <c r="M26" s="20">
        <v>104959</v>
      </c>
      <c r="N26" s="20">
        <v>303710</v>
      </c>
      <c r="O26" s="96">
        <f>H26</f>
        <v>188927</v>
      </c>
      <c r="P26" s="21">
        <f>ROUND(I26-SUM(J26:O26),0)</f>
        <v>462493</v>
      </c>
      <c r="Q26" s="50"/>
      <c r="R26" s="76">
        <v>462493</v>
      </c>
      <c r="S26" s="22" t="s">
        <v>48</v>
      </c>
      <c r="U26" s="1" t="s">
        <v>71</v>
      </c>
    </row>
    <row r="27" spans="1:21" ht="20.100000000000001" customHeight="1" x14ac:dyDescent="0.3">
      <c r="A27" s="58"/>
      <c r="B27" s="20" t="s">
        <v>70</v>
      </c>
      <c r="C27" s="45">
        <v>44925</v>
      </c>
      <c r="D27" s="20">
        <v>36</v>
      </c>
      <c r="E27" s="20">
        <v>150000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>
        <f>E27</f>
        <v>150000</v>
      </c>
      <c r="Q27" s="50"/>
      <c r="R27" s="76">
        <v>150000</v>
      </c>
      <c r="S27" s="22" t="s">
        <v>49</v>
      </c>
    </row>
    <row r="28" spans="1:21" ht="20.100000000000001" customHeight="1" x14ac:dyDescent="0.3">
      <c r="A28" s="58"/>
      <c r="B28" s="20" t="s">
        <v>47</v>
      </c>
      <c r="C28" s="45">
        <v>44944</v>
      </c>
      <c r="D28" s="20">
        <v>36</v>
      </c>
      <c r="E28" s="20">
        <v>188927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97">
        <f>E28</f>
        <v>188927</v>
      </c>
      <c r="Q28" s="50"/>
      <c r="R28" s="76">
        <v>188927</v>
      </c>
      <c r="S28" s="22" t="s">
        <v>50</v>
      </c>
    </row>
    <row r="29" spans="1:21" ht="20.100000000000001" customHeight="1" x14ac:dyDescent="0.3">
      <c r="A29" s="58"/>
      <c r="B29" s="23"/>
      <c r="C29" s="4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2"/>
      <c r="Q29" s="50"/>
      <c r="R29" s="76">
        <v>49000</v>
      </c>
      <c r="S29" s="22" t="s">
        <v>51</v>
      </c>
    </row>
    <row r="30" spans="1:21" ht="20.100000000000001" customHeight="1" x14ac:dyDescent="0.3">
      <c r="A30" s="58"/>
      <c r="B30" s="23"/>
      <c r="C30" s="4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2"/>
      <c r="Q30" s="50"/>
      <c r="R30" s="76"/>
      <c r="S30" s="22"/>
      <c r="T30" s="66">
        <f>SUM(P26:P30)-SUM(R26:R30)</f>
        <v>-49000</v>
      </c>
    </row>
    <row r="31" spans="1:21" ht="20.100000000000001" customHeight="1" x14ac:dyDescent="0.3">
      <c r="A31" s="58"/>
      <c r="B31" s="23"/>
      <c r="C31" s="4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2"/>
      <c r="Q31" s="50"/>
      <c r="R31" s="76"/>
      <c r="S31" s="22"/>
      <c r="T31" s="66"/>
    </row>
    <row r="32" spans="1:21" ht="20.100000000000001" customHeight="1" x14ac:dyDescent="0.3">
      <c r="A32" s="58"/>
      <c r="B32" s="23"/>
      <c r="C32" s="4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2"/>
      <c r="Q32" s="50"/>
      <c r="R32" s="76"/>
      <c r="S32" s="22"/>
      <c r="T32" s="66"/>
    </row>
    <row r="33" spans="1:22" ht="20.100000000000001" customHeight="1" x14ac:dyDescent="0.3">
      <c r="A33" s="87"/>
      <c r="B33" s="88"/>
      <c r="C33" s="89"/>
      <c r="D33" s="90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2"/>
      <c r="Q33" s="93">
        <f>A34</f>
        <v>54688</v>
      </c>
      <c r="R33" s="94"/>
      <c r="S33" s="95"/>
    </row>
    <row r="34" spans="1:22" ht="20.100000000000001" customHeight="1" x14ac:dyDescent="0.3">
      <c r="A34" s="58">
        <v>54688</v>
      </c>
      <c r="B34" s="18" t="s">
        <v>52</v>
      </c>
      <c r="C34" s="42">
        <v>44946</v>
      </c>
      <c r="D34" s="28">
        <v>1</v>
      </c>
      <c r="E34" s="20">
        <v>1017952</v>
      </c>
      <c r="F34" s="20">
        <v>0</v>
      </c>
      <c r="G34" s="20">
        <f>E34-F34</f>
        <v>1017952</v>
      </c>
      <c r="H34" s="20">
        <f>ROUND(G34*$H$5,0)</f>
        <v>183231</v>
      </c>
      <c r="I34" s="20">
        <f>ROUND(G34+H34,)</f>
        <v>1201183</v>
      </c>
      <c r="J34" s="20">
        <f>G34*2%</f>
        <v>20359.04</v>
      </c>
      <c r="K34" s="20">
        <f>G34*$K$5</f>
        <v>50897.600000000006</v>
      </c>
      <c r="L34" s="20">
        <f>G34*$L$5</f>
        <v>101795.20000000001</v>
      </c>
      <c r="M34" s="20">
        <f>G34*$M$5</f>
        <v>101795.20000000001</v>
      </c>
      <c r="N34" s="20">
        <v>163961</v>
      </c>
      <c r="O34" s="96">
        <f>H34</f>
        <v>183231</v>
      </c>
      <c r="P34" s="21">
        <f>ROUND(I34-SUM(J34:O34),0)</f>
        <v>579144</v>
      </c>
      <c r="Q34" s="50"/>
      <c r="R34" s="76">
        <v>579144</v>
      </c>
      <c r="S34" s="22" t="s">
        <v>53</v>
      </c>
      <c r="U34" s="1" t="s">
        <v>71</v>
      </c>
    </row>
    <row r="35" spans="1:22" ht="20.100000000000001" customHeight="1" x14ac:dyDescent="0.3">
      <c r="A35" s="58"/>
      <c r="B35" s="18" t="s">
        <v>30</v>
      </c>
      <c r="C35" s="42">
        <v>45013</v>
      </c>
      <c r="D35" s="19">
        <v>1</v>
      </c>
      <c r="E35" s="20">
        <v>183231</v>
      </c>
      <c r="F35" s="20"/>
      <c r="G35" s="20">
        <f>E35-F35</f>
        <v>183231</v>
      </c>
      <c r="H35" s="20">
        <v>0</v>
      </c>
      <c r="I35" s="20">
        <f>G35+H35</f>
        <v>183231</v>
      </c>
      <c r="J35" s="20">
        <v>0</v>
      </c>
      <c r="K35" s="20">
        <v>0</v>
      </c>
      <c r="L35" s="20">
        <v>0</v>
      </c>
      <c r="M35" s="20">
        <v>0</v>
      </c>
      <c r="N35" s="20">
        <f>H35</f>
        <v>0</v>
      </c>
      <c r="O35" s="20"/>
      <c r="P35" s="97">
        <f>ROUND(I35-SUM(J35:O35),0)</f>
        <v>183231</v>
      </c>
      <c r="Q35" s="50"/>
      <c r="R35" s="76">
        <v>98000</v>
      </c>
      <c r="S35" s="22" t="s">
        <v>54</v>
      </c>
    </row>
    <row r="36" spans="1:22" ht="20.100000000000001" customHeight="1" x14ac:dyDescent="0.3">
      <c r="A36" s="58"/>
      <c r="B36" s="20"/>
      <c r="C36" s="45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1"/>
      <c r="Q36" s="50"/>
      <c r="R36" s="76">
        <v>183331</v>
      </c>
      <c r="S36" s="22" t="s">
        <v>55</v>
      </c>
    </row>
    <row r="37" spans="1:22" ht="20.100000000000001" customHeight="1" x14ac:dyDescent="0.3">
      <c r="A37" s="58"/>
      <c r="B37" s="20"/>
      <c r="C37" s="45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/>
      <c r="Q37" s="50"/>
      <c r="R37" s="76"/>
      <c r="S37" s="22"/>
    </row>
    <row r="38" spans="1:22" ht="20.100000000000001" customHeight="1" x14ac:dyDescent="0.3">
      <c r="A38" s="58"/>
      <c r="B38" s="20"/>
      <c r="C38" s="45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/>
      <c r="Q38" s="50"/>
      <c r="R38" s="76"/>
      <c r="S38" s="22"/>
    </row>
    <row r="39" spans="1:22" ht="20.100000000000001" customHeight="1" x14ac:dyDescent="0.3">
      <c r="A39" s="58"/>
      <c r="B39" s="20"/>
      <c r="C39" s="45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1"/>
      <c r="Q39" s="50"/>
      <c r="R39" s="76"/>
      <c r="S39" s="22"/>
      <c r="T39" s="66">
        <f>SUM(P34:P38)-SUM(R34:R38)</f>
        <v>-98100</v>
      </c>
    </row>
    <row r="40" spans="1:22" ht="20.100000000000001" customHeight="1" x14ac:dyDescent="0.3">
      <c r="A40" s="87"/>
      <c r="B40" s="88"/>
      <c r="C40" s="89"/>
      <c r="D40" s="90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2"/>
      <c r="Q40" s="93">
        <f>A41</f>
        <v>55385</v>
      </c>
      <c r="R40" s="94"/>
      <c r="S40" s="95"/>
    </row>
    <row r="41" spans="1:22" ht="20.100000000000001" customHeight="1" x14ac:dyDescent="0.3">
      <c r="A41" s="58">
        <v>55385</v>
      </c>
      <c r="B41" s="18" t="s">
        <v>21</v>
      </c>
      <c r="C41" s="42">
        <v>45002</v>
      </c>
      <c r="D41" s="28">
        <v>42</v>
      </c>
      <c r="E41" s="20">
        <v>1989598</v>
      </c>
      <c r="F41" s="20">
        <v>0</v>
      </c>
      <c r="G41" s="20">
        <f>ROUND(E41-F41,)</f>
        <v>1989598</v>
      </c>
      <c r="H41" s="20">
        <f>ROUND(G41*$H$5,0)</f>
        <v>358128</v>
      </c>
      <c r="I41" s="20">
        <f>G41+H41</f>
        <v>2347726</v>
      </c>
      <c r="J41" s="20">
        <f>G41*2%</f>
        <v>39791.96</v>
      </c>
      <c r="K41" s="20">
        <f>G41*5%</f>
        <v>99479.900000000009</v>
      </c>
      <c r="L41" s="20">
        <f>G41*10%</f>
        <v>198959.80000000002</v>
      </c>
      <c r="M41" s="20">
        <f>G41*10%</f>
        <v>198959.80000000002</v>
      </c>
      <c r="N41" s="20">
        <v>79152</v>
      </c>
      <c r="O41" s="96">
        <f>H41</f>
        <v>358128</v>
      </c>
      <c r="P41" s="21">
        <f>ROUND(I41-SUM(J41:O41),0)</f>
        <v>1373255</v>
      </c>
      <c r="Q41" s="50"/>
      <c r="R41" s="76">
        <v>294000</v>
      </c>
      <c r="S41" s="22" t="s">
        <v>22</v>
      </c>
      <c r="U41" s="1" t="s">
        <v>71</v>
      </c>
    </row>
    <row r="42" spans="1:22" ht="20.100000000000001" customHeight="1" x14ac:dyDescent="0.3">
      <c r="A42" s="58"/>
      <c r="B42" s="18" t="s">
        <v>30</v>
      </c>
      <c r="C42" s="42">
        <v>45055</v>
      </c>
      <c r="D42" s="28">
        <v>42</v>
      </c>
      <c r="E42" s="20">
        <v>358128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97">
        <v>358128</v>
      </c>
      <c r="Q42" s="50"/>
      <c r="R42" s="76">
        <v>588000</v>
      </c>
      <c r="S42" s="22" t="s">
        <v>23</v>
      </c>
    </row>
    <row r="43" spans="1:22" ht="20.100000000000001" customHeight="1" x14ac:dyDescent="0.3">
      <c r="A43" s="58"/>
      <c r="B43" s="20"/>
      <c r="C43" s="45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1"/>
      <c r="Q43" s="50"/>
      <c r="R43" s="76">
        <v>392000</v>
      </c>
      <c r="S43" s="22" t="s">
        <v>24</v>
      </c>
    </row>
    <row r="44" spans="1:22" ht="20.100000000000001" customHeight="1" x14ac:dyDescent="0.3">
      <c r="A44" s="58"/>
      <c r="B44" s="19"/>
      <c r="C44" s="42"/>
      <c r="D44" s="19"/>
      <c r="E44" s="29"/>
      <c r="F44" s="29"/>
      <c r="G44" s="29"/>
      <c r="H44" s="20"/>
      <c r="I44" s="20"/>
      <c r="J44" s="20"/>
      <c r="K44" s="20"/>
      <c r="L44" s="20"/>
      <c r="M44" s="20"/>
      <c r="N44" s="20"/>
      <c r="O44" s="20"/>
      <c r="P44" s="21"/>
      <c r="Q44" s="50"/>
      <c r="R44" s="76">
        <v>178406</v>
      </c>
      <c r="S44" s="21" t="s">
        <v>56</v>
      </c>
    </row>
    <row r="45" spans="1:22" ht="20.100000000000001" customHeight="1" x14ac:dyDescent="0.3">
      <c r="A45" s="59"/>
      <c r="B45" s="20"/>
      <c r="C45" s="45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1"/>
      <c r="Q45" s="51"/>
      <c r="R45" s="76">
        <v>358128</v>
      </c>
      <c r="S45" s="21" t="s">
        <v>57</v>
      </c>
    </row>
    <row r="46" spans="1:22" ht="20.100000000000001" customHeight="1" x14ac:dyDescent="0.3">
      <c r="A46" s="59"/>
      <c r="B46" s="20"/>
      <c r="C46" s="45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1"/>
      <c r="Q46" s="51"/>
      <c r="R46" s="76"/>
      <c r="S46" s="21"/>
      <c r="T46" s="66">
        <f>SUM(P41:P46)-SUM(R41:R46)</f>
        <v>-79151</v>
      </c>
      <c r="V46" s="1" t="s">
        <v>79</v>
      </c>
    </row>
    <row r="47" spans="1:22" ht="20.100000000000001" customHeight="1" x14ac:dyDescent="0.3">
      <c r="A47" s="87"/>
      <c r="B47" s="88"/>
      <c r="C47" s="89"/>
      <c r="D47" s="90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2"/>
      <c r="Q47" s="93">
        <f>A48</f>
        <v>59266</v>
      </c>
      <c r="R47" s="94"/>
      <c r="S47" s="95"/>
    </row>
    <row r="48" spans="1:22" ht="20.100000000000001" customHeight="1" x14ac:dyDescent="0.3">
      <c r="A48" s="58">
        <v>59266</v>
      </c>
      <c r="B48" s="20" t="s">
        <v>58</v>
      </c>
      <c r="C48" s="42">
        <v>45180</v>
      </c>
      <c r="D48" s="28">
        <v>17</v>
      </c>
      <c r="E48" s="20">
        <v>1643542</v>
      </c>
      <c r="F48" s="20">
        <v>0</v>
      </c>
      <c r="G48" s="20">
        <f>ROUND(E48-F48,)</f>
        <v>1643542</v>
      </c>
      <c r="H48" s="20">
        <f>ROUND(G48*$H$5,0)</f>
        <v>295838</v>
      </c>
      <c r="I48" s="20">
        <f>G48+H48</f>
        <v>1939380</v>
      </c>
      <c r="J48" s="20">
        <f>G48*2%</f>
        <v>32870.840000000004</v>
      </c>
      <c r="K48" s="20">
        <f>ROUND(G48*$K$5,)</f>
        <v>82177</v>
      </c>
      <c r="L48" s="20">
        <f>ROUND(G48*$L$5,)</f>
        <v>164354</v>
      </c>
      <c r="M48" s="20">
        <f>ROUND(G48*$M$5,)</f>
        <v>164354</v>
      </c>
      <c r="N48" s="20">
        <v>236780</v>
      </c>
      <c r="O48" s="96">
        <f>H48</f>
        <v>295838</v>
      </c>
      <c r="P48" s="21">
        <f>ROUND(I48-SUM(J48:O48),0)</f>
        <v>963006</v>
      </c>
      <c r="Q48" s="51"/>
      <c r="R48" s="76">
        <v>963006</v>
      </c>
      <c r="S48" s="21" t="s">
        <v>62</v>
      </c>
      <c r="U48" s="1" t="s">
        <v>78</v>
      </c>
    </row>
    <row r="49" spans="1:20" ht="20.100000000000001" customHeight="1" x14ac:dyDescent="0.3">
      <c r="A49" s="59"/>
      <c r="B49" s="20" t="s">
        <v>64</v>
      </c>
      <c r="C49" s="45"/>
      <c r="D49" s="20"/>
      <c r="E49" s="20">
        <v>295838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97">
        <v>295838</v>
      </c>
      <c r="Q49" s="51"/>
      <c r="R49" s="76">
        <v>295838</v>
      </c>
      <c r="S49" s="63" t="s">
        <v>69</v>
      </c>
    </row>
    <row r="50" spans="1:20" ht="20.100000000000001" customHeight="1" x14ac:dyDescent="0.3">
      <c r="A50" s="59"/>
      <c r="B50" s="20"/>
      <c r="C50" s="45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1"/>
      <c r="Q50" s="51"/>
      <c r="R50" s="76"/>
      <c r="S50" s="64"/>
    </row>
    <row r="51" spans="1:20" ht="20.100000000000001" customHeight="1" x14ac:dyDescent="0.3">
      <c r="A51" s="59"/>
      <c r="B51" s="20"/>
      <c r="C51" s="45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1"/>
      <c r="Q51" s="51"/>
      <c r="R51" s="76"/>
      <c r="S51" s="21"/>
    </row>
    <row r="52" spans="1:20" ht="20.100000000000001" customHeight="1" x14ac:dyDescent="0.3">
      <c r="A52" s="59"/>
      <c r="B52" s="20"/>
      <c r="C52" s="45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/>
      <c r="Q52" s="51"/>
      <c r="R52" s="76"/>
      <c r="S52" s="21"/>
    </row>
    <row r="53" spans="1:20" ht="20.100000000000001" customHeight="1" x14ac:dyDescent="0.3">
      <c r="A53" s="59"/>
      <c r="B53" s="20"/>
      <c r="C53" s="45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/>
      <c r="Q53" s="51"/>
      <c r="R53" s="76"/>
      <c r="S53" s="21"/>
    </row>
    <row r="54" spans="1:20" ht="20.100000000000001" customHeight="1" thickBot="1" x14ac:dyDescent="0.35">
      <c r="A54" s="60"/>
      <c r="B54" s="11"/>
      <c r="C54" s="40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2"/>
      <c r="Q54" s="72"/>
      <c r="R54" s="78"/>
      <c r="S54" s="30"/>
      <c r="T54" s="66">
        <f>SUM(P48:P53)-SUM(R48:R53)</f>
        <v>0</v>
      </c>
    </row>
    <row r="55" spans="1:20" ht="20.100000000000001" customHeight="1" x14ac:dyDescent="0.3">
      <c r="A55" s="61"/>
      <c r="B55" s="31"/>
      <c r="C55" s="46"/>
      <c r="D55" s="31"/>
      <c r="E55" s="31"/>
      <c r="F55" s="31"/>
      <c r="G55" s="31"/>
      <c r="H55" s="31"/>
      <c r="I55" s="31"/>
      <c r="J55" s="31"/>
      <c r="K55" s="32">
        <f t="shared" ref="K55:O55" si="1">SUM(K7:K54)</f>
        <v>448572.5</v>
      </c>
      <c r="L55" s="32">
        <f t="shared" si="1"/>
        <v>897145</v>
      </c>
      <c r="M55" s="32">
        <f t="shared" si="1"/>
        <v>897145</v>
      </c>
      <c r="N55" s="32">
        <f t="shared" si="1"/>
        <v>1892465</v>
      </c>
      <c r="O55" s="32">
        <f t="shared" si="1"/>
        <v>1614862</v>
      </c>
      <c r="P55" s="33">
        <f>SUM(P7:P54)</f>
        <v>6681560.7566</v>
      </c>
      <c r="Q55" s="67"/>
      <c r="R55" s="79">
        <f>SUM(R7:R54)</f>
        <v>7882032</v>
      </c>
      <c r="S55" s="33" t="s">
        <v>80</v>
      </c>
      <c r="T55" s="79">
        <f>SUM(T7:T54)</f>
        <v>-1200471.2434</v>
      </c>
    </row>
    <row r="56" spans="1:20" ht="20.100000000000001" customHeight="1" x14ac:dyDescent="0.3">
      <c r="A56" s="59"/>
      <c r="B56" s="20"/>
      <c r="C56" s="45"/>
      <c r="D56" s="20"/>
      <c r="E56" s="20"/>
      <c r="F56" s="20"/>
      <c r="G56" s="20"/>
      <c r="H56" s="20"/>
      <c r="I56" s="20"/>
      <c r="J56" s="20"/>
      <c r="K56" s="102"/>
      <c r="L56" s="102"/>
      <c r="M56" s="102"/>
      <c r="N56" s="102"/>
      <c r="O56" s="102"/>
      <c r="P56" s="21"/>
      <c r="Q56" s="51"/>
      <c r="R56" s="76"/>
      <c r="S56" s="68"/>
    </row>
    <row r="57" spans="1:20" ht="20.100000000000001" customHeight="1" x14ac:dyDescent="0.3">
      <c r="A57" s="59"/>
      <c r="B57" s="20"/>
      <c r="C57" s="45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1"/>
      <c r="Q57" s="51"/>
      <c r="R57" s="80">
        <f>P55-R55</f>
        <v>-1200471.2434</v>
      </c>
      <c r="S57" s="68" t="s">
        <v>81</v>
      </c>
    </row>
    <row r="58" spans="1:20" ht="20.100000000000001" customHeight="1" thickBot="1" x14ac:dyDescent="0.35">
      <c r="A58" s="56"/>
      <c r="B58" s="34"/>
      <c r="C58" s="47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5"/>
      <c r="Q58" s="52"/>
      <c r="R58" s="74"/>
      <c r="S58" s="69"/>
    </row>
    <row r="62" spans="1:20" ht="20.100000000000001" customHeight="1" thickBot="1" x14ac:dyDescent="0.35"/>
    <row r="63" spans="1:20" ht="20.100000000000001" customHeight="1" thickBot="1" x14ac:dyDescent="0.35">
      <c r="M63" s="123" t="s">
        <v>82</v>
      </c>
      <c r="N63" s="124"/>
      <c r="O63" s="125"/>
    </row>
    <row r="64" spans="1:20" ht="20.100000000000001" customHeight="1" thickBot="1" x14ac:dyDescent="0.35">
      <c r="M64" s="126" t="s">
        <v>87</v>
      </c>
      <c r="N64" s="127"/>
      <c r="O64" s="128"/>
    </row>
    <row r="65" spans="13:15" ht="20.100000000000001" customHeight="1" x14ac:dyDescent="0.3">
      <c r="M65" s="99" t="s">
        <v>83</v>
      </c>
      <c r="N65" s="129">
        <f>K55+L55+M55</f>
        <v>2242862.5</v>
      </c>
      <c r="O65" s="130"/>
    </row>
    <row r="66" spans="13:15" ht="20.100000000000001" customHeight="1" x14ac:dyDescent="0.3">
      <c r="M66" s="100" t="s">
        <v>84</v>
      </c>
      <c r="N66" s="131">
        <f>N55</f>
        <v>1892465</v>
      </c>
      <c r="O66" s="132"/>
    </row>
    <row r="67" spans="13:15" ht="20.100000000000001" customHeight="1" x14ac:dyDescent="0.3">
      <c r="M67" s="100" t="s">
        <v>85</v>
      </c>
      <c r="N67" s="133" t="s">
        <v>88</v>
      </c>
      <c r="O67" s="134"/>
    </row>
    <row r="68" spans="13:15" ht="20.100000000000001" customHeight="1" thickBot="1" x14ac:dyDescent="0.35">
      <c r="M68" s="101" t="s">
        <v>86</v>
      </c>
      <c r="N68" s="121">
        <f>R57</f>
        <v>-1200471.2434</v>
      </c>
      <c r="O68" s="122"/>
    </row>
  </sheetData>
  <mergeCells count="6">
    <mergeCell ref="N68:O68"/>
    <mergeCell ref="M63:O63"/>
    <mergeCell ref="M64:O64"/>
    <mergeCell ref="N65:O65"/>
    <mergeCell ref="N66:O66"/>
    <mergeCell ref="N67:O67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(3)</vt:lpstr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2024-08-03T09:12:13Z</cp:lastPrinted>
  <dcterms:created xsi:type="dcterms:W3CDTF">2022-06-10T14:11:52Z</dcterms:created>
  <dcterms:modified xsi:type="dcterms:W3CDTF">2025-06-11T06:24:25Z</dcterms:modified>
</cp:coreProperties>
</file>